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U:\text2023\Projekte aktiv\Konfliktmineralien\CMRT 6.3 2023\"/>
    </mc:Choice>
  </mc:AlternateContent>
  <xr:revisionPtr revIDLastSave="0" documentId="13_ncr:1_{1C79D702-8EDF-4436-9619-BDAA8325DDD3}"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120" yWindow="-120" windowWidth="254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D4" i="5" s="1"/>
  <c r="C4"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V199" i="5"/>
  <c r="E199" i="5"/>
  <c r="X199" i="5" s="1"/>
  <c r="V200" i="5"/>
  <c r="E200" i="5"/>
  <c r="V201" i="5"/>
  <c r="E201" i="5"/>
  <c r="V202" i="5"/>
  <c r="E202" i="5"/>
  <c r="X202" i="5" s="1"/>
  <c r="V203" i="5"/>
  <c r="E203" i="5"/>
  <c r="X203" i="5" s="1"/>
  <c r="V204" i="5"/>
  <c r="E204" i="5"/>
  <c r="X204" i="5" s="1"/>
  <c r="V205" i="5"/>
  <c r="E205" i="5"/>
  <c r="X205" i="5" s="1"/>
  <c r="V206" i="5"/>
  <c r="E206" i="5"/>
  <c r="X206" i="5" s="1"/>
  <c r="V207" i="5"/>
  <c r="E207" i="5"/>
  <c r="X207" i="5" s="1"/>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V317" i="5"/>
  <c r="E317" i="5"/>
  <c r="V318" i="5"/>
  <c r="E318" i="5"/>
  <c r="X318" i="5" s="1"/>
  <c r="V319" i="5"/>
  <c r="E319" i="5"/>
  <c r="X319" i="5" s="1"/>
  <c r="V320" i="5"/>
  <c r="E320" i="5"/>
  <c r="V321" i="5"/>
  <c r="E321" i="5"/>
  <c r="X321" i="5" s="1"/>
  <c r="V322" i="5"/>
  <c r="E322" i="5"/>
  <c r="X322" i="5" s="1"/>
  <c r="V323" i="5"/>
  <c r="E323" i="5"/>
  <c r="X323" i="5" s="1"/>
  <c r="V324" i="5"/>
  <c r="E324" i="5"/>
  <c r="V325" i="5"/>
  <c r="E325" i="5"/>
  <c r="V326" i="5"/>
  <c r="E326" i="5"/>
  <c r="X326" i="5" s="1"/>
  <c r="V327" i="5"/>
  <c r="E327" i="5"/>
  <c r="X327" i="5" s="1"/>
  <c r="V328" i="5"/>
  <c r="E328" i="5"/>
  <c r="V329" i="5"/>
  <c r="E329" i="5"/>
  <c r="X329" i="5" s="1"/>
  <c r="V330" i="5"/>
  <c r="E330" i="5"/>
  <c r="X330" i="5" s="1"/>
  <c r="V331" i="5"/>
  <c r="E331" i="5"/>
  <c r="X331" i="5" s="1"/>
  <c r="V332" i="5"/>
  <c r="E332" i="5"/>
  <c r="X332" i="5" s="1"/>
  <c r="V333" i="5"/>
  <c r="E333" i="5"/>
  <c r="V334" i="5"/>
  <c r="E334" i="5"/>
  <c r="V335" i="5"/>
  <c r="E335" i="5"/>
  <c r="X335" i="5" s="1"/>
  <c r="V336" i="5"/>
  <c r="E336" i="5"/>
  <c r="V337" i="5"/>
  <c r="E337" i="5"/>
  <c r="X337" i="5" s="1"/>
  <c r="V338" i="5"/>
  <c r="E338" i="5"/>
  <c r="X338" i="5" s="1"/>
  <c r="V339" i="5"/>
  <c r="E339" i="5"/>
  <c r="X339" i="5" s="1"/>
  <c r="V340" i="5"/>
  <c r="E340" i="5"/>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V357" i="5"/>
  <c r="E357" i="5"/>
  <c r="X357" i="5" s="1"/>
  <c r="V358" i="5"/>
  <c r="E358" i="5"/>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V455" i="5"/>
  <c r="E455" i="5"/>
  <c r="X455" i="5" s="1"/>
  <c r="V456" i="5"/>
  <c r="E456" i="5"/>
  <c r="V457" i="5"/>
  <c r="E457" i="5"/>
  <c r="X457" i="5" s="1"/>
  <c r="V458" i="5"/>
  <c r="E458" i="5"/>
  <c r="X458" i="5" s="1"/>
  <c r="V459" i="5"/>
  <c r="E459" i="5"/>
  <c r="X459" i="5" s="1"/>
  <c r="V460" i="5"/>
  <c r="E460" i="5"/>
  <c r="V461" i="5"/>
  <c r="E461" i="5"/>
  <c r="X461" i="5" s="1"/>
  <c r="V462" i="5"/>
  <c r="E462" i="5"/>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X501" i="5" s="1"/>
  <c r="V502" i="5"/>
  <c r="E502" i="5"/>
  <c r="X502" i="5" s="1"/>
  <c r="V503" i="5"/>
  <c r="E503" i="5"/>
  <c r="X503" i="5" s="1"/>
  <c r="V504" i="5"/>
  <c r="E504" i="5"/>
  <c r="X504" i="5" s="1"/>
  <c r="V505" i="5"/>
  <c r="E505" i="5"/>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V521" i="5"/>
  <c r="E521" i="5"/>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V586" i="5"/>
  <c r="E586" i="5"/>
  <c r="X586" i="5" s="1"/>
  <c r="V587" i="5"/>
  <c r="E587" i="5"/>
  <c r="X587" i="5" s="1"/>
  <c r="V588" i="5"/>
  <c r="E588" i="5"/>
  <c r="V589" i="5"/>
  <c r="E589" i="5"/>
  <c r="V590" i="5"/>
  <c r="E590" i="5"/>
  <c r="X590" i="5" s="1"/>
  <c r="V591" i="5"/>
  <c r="E591" i="5"/>
  <c r="X591" i="5" s="1"/>
  <c r="V592" i="5"/>
  <c r="E592" i="5"/>
  <c r="V593" i="5"/>
  <c r="E593" i="5"/>
  <c r="V594" i="5"/>
  <c r="E594" i="5"/>
  <c r="X594" i="5" s="1"/>
  <c r="V595" i="5"/>
  <c r="E595" i="5"/>
  <c r="X595" i="5" s="1"/>
  <c r="V596" i="5"/>
  <c r="E596" i="5"/>
  <c r="X596" i="5" s="1"/>
  <c r="V597" i="5"/>
  <c r="E597" i="5"/>
  <c r="X597" i="5" s="1"/>
  <c r="V598" i="5"/>
  <c r="E598" i="5"/>
  <c r="X598" i="5" s="1"/>
  <c r="V599" i="5"/>
  <c r="E599" i="5"/>
  <c r="X599" i="5" s="1"/>
  <c r="V600" i="5"/>
  <c r="E600" i="5"/>
  <c r="V601" i="5"/>
  <c r="E601" i="5"/>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V845" i="5"/>
  <c r="E845" i="5"/>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V1141" i="5"/>
  <c r="E1141" i="5"/>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V1665" i="5"/>
  <c r="E1665" i="5"/>
  <c r="X1665" i="5" s="1"/>
  <c r="V1666" i="5"/>
  <c r="E1666" i="5"/>
  <c r="X1666" i="5" s="1"/>
  <c r="V1667" i="5"/>
  <c r="E1667" i="5"/>
  <c r="X1667" i="5" s="1"/>
  <c r="V1668" i="5"/>
  <c r="E1668" i="5"/>
  <c r="X1668" i="5" s="1"/>
  <c r="V1669" i="5"/>
  <c r="E1669" i="5"/>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V2378" i="5"/>
  <c r="E2378" i="5"/>
  <c r="X2378" i="5" s="1"/>
  <c r="V2379" i="5"/>
  <c r="E2379" i="5"/>
  <c r="X2379" i="5" s="1"/>
  <c r="V2380" i="5"/>
  <c r="E2380" i="5"/>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10" i="6"/>
  <c r="B9" i="6"/>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B16" i="6"/>
  <c r="B15" i="6"/>
  <c r="B14" i="6"/>
  <c r="G14" i="6"/>
  <c r="H14" i="6" s="1"/>
  <c r="H13" i="6"/>
  <c r="B12" i="6"/>
  <c r="G12" i="6" s="1"/>
  <c r="H12" i="6" s="1"/>
  <c r="D12" i="6" s="1"/>
  <c r="B11" i="6"/>
  <c r="G11" i="6"/>
  <c r="H11" i="6"/>
  <c r="D11" i="6" s="1"/>
  <c r="G10" i="6"/>
  <c r="H10" i="6" s="1"/>
  <c r="D10" i="6" s="1"/>
  <c r="G9" i="6"/>
  <c r="H9" i="6"/>
  <c r="D9" i="6" s="1"/>
  <c r="B8" i="6"/>
  <c r="G8" i="6"/>
  <c r="H8" i="6" s="1"/>
  <c r="D8" i="6" s="1"/>
  <c r="B7" i="6"/>
  <c r="G7" i="6"/>
  <c r="H7" i="6" s="1"/>
  <c r="D7" i="6" s="1"/>
  <c r="B6" i="6"/>
  <c r="G6" i="6" s="1"/>
  <c r="H6" i="6" s="1"/>
  <c r="D6" i="6" s="1"/>
  <c r="B5" i="6"/>
  <c r="F6"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B90" i="4"/>
  <c r="H67" i="4"/>
  <c r="P47" i="4"/>
  <c r="P46" i="4"/>
  <c r="P45" i="4"/>
  <c r="P44" i="4"/>
  <c r="P43" i="4"/>
  <c r="Q43" i="4" s="1"/>
  <c r="P41" i="4"/>
  <c r="B41" i="4" s="1"/>
  <c r="B59" i="4" s="1"/>
  <c r="A42" i="6" s="1"/>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I46"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80" i="5"/>
  <c r="AB2387" i="5"/>
  <c r="AB2396" i="5"/>
  <c r="T2401" i="5"/>
  <c r="S2403" i="5"/>
  <c r="AB2414" i="5"/>
  <c r="AB2425" i="5"/>
  <c r="J2433" i="5"/>
  <c r="AB2436" i="5"/>
  <c r="S2456" i="5"/>
  <c r="AB2457" i="5"/>
  <c r="S2458" i="5"/>
  <c r="I2469" i="5"/>
  <c r="S2471" i="5"/>
  <c r="AB2472" i="5"/>
  <c r="T2484"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X1664"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0"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AB2443" i="5"/>
  <c r="S2443" i="5"/>
  <c r="S2450" i="5"/>
  <c r="S2452" i="5"/>
  <c r="J2461" i="5"/>
  <c r="J2469" i="5"/>
  <c r="T2495" i="5"/>
  <c r="S2495" i="5"/>
  <c r="T2499" i="5"/>
  <c r="S2499" i="5"/>
  <c r="T2503" i="5"/>
  <c r="S2503" i="5"/>
  <c r="G15" i="6"/>
  <c r="H15" i="6"/>
  <c r="D15" i="6" s="1"/>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B19" i="6"/>
  <c r="A73" i="2"/>
  <c r="B25" i="3"/>
  <c r="A75" i="2"/>
  <c r="P4" i="5"/>
  <c r="C4" i="3"/>
  <c r="B5" i="3"/>
  <c r="B21" i="3"/>
  <c r="H74" i="4"/>
  <c r="A28" i="2"/>
  <c r="A13" i="2"/>
  <c r="A48" i="2"/>
  <c r="B73" i="4"/>
  <c r="B2006" i="7"/>
  <c r="C9" i="3"/>
  <c r="B24" i="4"/>
  <c r="D25" i="4"/>
  <c r="D37" i="4" s="1"/>
  <c r="A34" i="2"/>
  <c r="C31" i="3"/>
  <c r="B28" i="4"/>
  <c r="A16" i="6" s="1"/>
  <c r="A54" i="2"/>
  <c r="C8" i="3"/>
  <c r="J14" i="6"/>
  <c r="J16" i="6"/>
  <c r="I46" i="6"/>
  <c r="J63" i="6"/>
  <c r="J26" i="6"/>
  <c r="I39" i="6"/>
  <c r="L65" i="6"/>
  <c r="I68" i="6"/>
  <c r="A65" i="2"/>
  <c r="B6" i="3"/>
  <c r="I4" i="4"/>
  <c r="B20" i="4"/>
  <c r="A11" i="6" s="1"/>
  <c r="A50" i="2"/>
  <c r="C6" i="3"/>
  <c r="J19" i="6"/>
  <c r="J27" i="6"/>
  <c r="I40" i="6"/>
  <c r="J55" i="6"/>
  <c r="L66" i="6"/>
  <c r="A6" i="2"/>
  <c r="A31" i="2"/>
  <c r="A7" i="2"/>
  <c r="A58" i="2"/>
  <c r="C10" i="3"/>
  <c r="B13" i="4"/>
  <c r="L4" i="5"/>
  <c r="A16" i="2"/>
  <c r="A42" i="2"/>
  <c r="A68" i="2"/>
  <c r="B7" i="3"/>
  <c r="B19" i="3"/>
  <c r="B31" i="3"/>
  <c r="B14" i="4"/>
  <c r="A91" i="4"/>
  <c r="B3" i="6"/>
  <c r="I21" i="6"/>
  <c r="J31" i="6"/>
  <c r="I41" i="6"/>
  <c r="J57" i="6"/>
  <c r="L67" i="6"/>
  <c r="A1" i="7"/>
  <c r="I4" i="6"/>
  <c r="J21" i="6"/>
  <c r="I34" i="6"/>
  <c r="J41" i="6"/>
  <c r="I50" i="6"/>
  <c r="I59" i="6"/>
  <c r="L68" i="6"/>
  <c r="B5" i="7"/>
  <c r="G4" i="8"/>
  <c r="A18" i="2"/>
  <c r="A35" i="2"/>
  <c r="A44" i="2"/>
  <c r="A53" i="2"/>
  <c r="A61" i="2"/>
  <c r="B8" i="3"/>
  <c r="B16" i="3"/>
  <c r="B20" i="3"/>
  <c r="B24" i="3"/>
  <c r="B28" i="3"/>
  <c r="B16" i="4"/>
  <c r="A8" i="6" s="1"/>
  <c r="B47" i="4"/>
  <c r="A32" i="6" s="1"/>
  <c r="B74" i="4"/>
  <c r="A53" i="6" s="1"/>
  <c r="B3" i="5"/>
  <c r="G4" i="5"/>
  <c r="D3" i="6"/>
  <c r="J5" i="6"/>
  <c r="I6" i="6"/>
  <c r="I7" i="6"/>
  <c r="I8" i="6"/>
  <c r="I11" i="6"/>
  <c r="J22" i="6"/>
  <c r="J34" i="6"/>
  <c r="I35" i="6"/>
  <c r="J42" i="6"/>
  <c r="J59" i="6"/>
  <c r="C5" i="7"/>
  <c r="D1" i="6"/>
  <c r="J6" i="6"/>
  <c r="J7" i="6"/>
  <c r="J10" i="6"/>
  <c r="J12" i="6"/>
  <c r="I24" i="6"/>
  <c r="J35" i="6"/>
  <c r="I36" i="6"/>
  <c r="I52" i="6"/>
  <c r="I62" i="6"/>
  <c r="I65" i="6"/>
  <c r="D5" i="7"/>
  <c r="B10" i="4"/>
  <c r="A6" i="6" s="1"/>
  <c r="B44" i="4"/>
  <c r="A29" i="6" s="1"/>
  <c r="I4" i="5"/>
  <c r="I14" i="6"/>
  <c r="I15" i="6"/>
  <c r="I16" i="6"/>
  <c r="I25" i="6"/>
  <c r="I37" i="6"/>
  <c r="J44" i="6"/>
  <c r="I45" i="6"/>
  <c r="J52" i="6"/>
  <c r="I64" i="6"/>
  <c r="I66" i="6"/>
  <c r="B57" i="1"/>
  <c r="F4" i="8"/>
  <c r="H4" i="8"/>
  <c r="S94" i="5"/>
  <c r="T262" i="5"/>
  <c r="S150" i="5"/>
  <c r="S491" i="5"/>
  <c r="T373" i="5"/>
  <c r="T337" i="5"/>
  <c r="T437" i="5"/>
  <c r="T349" i="5"/>
  <c r="T433" i="5"/>
  <c r="T179" i="5"/>
  <c r="S511" i="5"/>
  <c r="S147" i="5"/>
  <c r="T158" i="5"/>
  <c r="T193" i="5"/>
  <c r="S193" i="5"/>
  <c r="S203" i="5"/>
  <c r="T182" i="5"/>
  <c r="T165" i="5"/>
  <c r="T213" i="5"/>
  <c r="T384"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48" i="5"/>
  <c r="T77" i="5"/>
  <c r="T96" i="5"/>
  <c r="T155" i="5"/>
  <c r="S187" i="5"/>
  <c r="T282"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X520" i="5"/>
  <c r="X456" i="5"/>
  <c r="S598" i="5"/>
  <c r="X376" i="5"/>
  <c r="X488" i="5"/>
  <c r="S532" i="5"/>
  <c r="X336" i="5"/>
  <c r="X356" i="5"/>
  <c r="S356" i="5"/>
  <c r="X98" i="5"/>
  <c r="X198" i="5"/>
  <c r="S343" i="5"/>
  <c r="X333" i="5"/>
  <c r="X325" i="5"/>
  <c r="X218" i="5"/>
  <c r="S315" i="5"/>
  <c r="X96" i="5"/>
  <c r="X317" i="5"/>
  <c r="S357" i="5"/>
  <c r="S383" i="5"/>
  <c r="X76" i="5"/>
  <c r="X250"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508" i="5"/>
  <c r="R1086" i="5"/>
  <c r="I836" i="5"/>
  <c r="H596" i="5"/>
  <c r="R415" i="5"/>
  <c r="J447" i="5"/>
  <c r="J395" i="5"/>
  <c r="F2480" i="5"/>
  <c r="J2164" i="5"/>
  <c r="R1653" i="5"/>
  <c r="J1653" i="5"/>
  <c r="F1508" i="5"/>
  <c r="F1222" i="5"/>
  <c r="H1297" i="5"/>
  <c r="F836" i="5"/>
  <c r="R836" i="5"/>
  <c r="R395" i="5"/>
  <c r="I496" i="5"/>
  <c r="F1233" i="5"/>
  <c r="J1725" i="5"/>
  <c r="H1716" i="5"/>
  <c r="F1403" i="5"/>
  <c r="I1095" i="5"/>
  <c r="X2213" i="5"/>
  <c r="R808" i="5"/>
  <c r="J239" i="5"/>
  <c r="J2133" i="5"/>
  <c r="J2161"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s="1"/>
  <c r="H41" i="6" s="1"/>
  <c r="D41" i="6" s="1"/>
  <c r="B31" i="6"/>
  <c r="G31" i="6" s="1"/>
  <c r="J306" i="5"/>
  <c r="J2417" i="5"/>
  <c r="J2160" i="5"/>
  <c r="F1876" i="5"/>
  <c r="X1801" i="5"/>
  <c r="R1770" i="5"/>
  <c r="R1700"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40" i="6"/>
  <c r="G40" i="6" s="1"/>
  <c r="B50" i="6"/>
  <c r="G50" i="6" s="1"/>
  <c r="H50" i="6" s="1"/>
  <c r="D50" i="6" s="1"/>
  <c r="B25" i="6"/>
  <c r="G25" i="6"/>
  <c r="H25" i="6" s="1"/>
  <c r="D25" i="6" s="1"/>
  <c r="B35" i="6"/>
  <c r="G35" i="6" s="1"/>
  <c r="B39" i="6"/>
  <c r="G39" i="6"/>
  <c r="F24" i="6"/>
  <c r="F49" i="6" s="1"/>
  <c r="B44" i="6"/>
  <c r="G44" i="6"/>
  <c r="B49" i="6"/>
  <c r="G49" i="6" s="1"/>
  <c r="B34" i="6"/>
  <c r="G34" i="6"/>
  <c r="B29" i="6"/>
  <c r="G29" i="6" s="1"/>
  <c r="B24" i="6"/>
  <c r="G24" i="6" s="1"/>
  <c r="G19" i="6"/>
  <c r="H19" i="6" s="1"/>
  <c r="D19"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7" i="4"/>
  <c r="B46" i="6"/>
  <c r="G46" i="6" s="1"/>
  <c r="H46" i="6" s="1"/>
  <c r="D46" i="6" s="1"/>
  <c r="B26" i="6"/>
  <c r="G26" i="6" s="1"/>
  <c r="H26" i="6" s="1"/>
  <c r="D26" i="6" s="1"/>
  <c r="G21" i="6"/>
  <c r="H21" i="6" s="1"/>
  <c r="K67" i="6" s="1"/>
  <c r="B36" i="6"/>
  <c r="G36" i="6"/>
  <c r="G20" i="6"/>
  <c r="H20" i="6" s="1"/>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41" i="6"/>
  <c r="J2479" i="5"/>
  <c r="I2479" i="5"/>
  <c r="R2479" i="5"/>
  <c r="H2479" i="5"/>
  <c r="F2479" i="5"/>
  <c r="F45" i="6"/>
  <c r="F66" i="6"/>
  <c r="F50" i="6"/>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S597" i="5"/>
  <c r="X505" i="5"/>
  <c r="S599" i="5"/>
  <c r="X462" i="5"/>
  <c r="X493" i="5"/>
  <c r="S611" i="5"/>
  <c r="X220" i="5"/>
  <c r="X601" i="5"/>
  <c r="S601" i="5"/>
  <c r="X340" i="5"/>
  <c r="X466" i="5"/>
  <c r="X521" i="5"/>
  <c r="X472" i="5"/>
  <c r="X152" i="5"/>
  <c r="X180" i="5"/>
  <c r="X232" i="5"/>
  <c r="X296" i="5"/>
  <c r="X518" i="5"/>
  <c r="X176" i="5"/>
  <c r="X244" i="5"/>
  <c r="X276" i="5"/>
  <c r="X524" i="5"/>
  <c r="X320" i="5"/>
  <c r="X212" i="5"/>
  <c r="X454" i="5"/>
  <c r="X188" i="5"/>
  <c r="X328" i="5"/>
  <c r="X600" i="5"/>
  <c r="S600" i="5"/>
  <c r="X365" i="5"/>
  <c r="X108" i="5"/>
  <c r="X481" i="5"/>
  <c r="X112" i="5"/>
  <c r="X569" i="5"/>
  <c r="X164" i="5"/>
  <c r="X200" i="5"/>
  <c r="X316" i="5"/>
  <c r="X144" i="5"/>
  <c r="X208" i="5"/>
  <c r="X382" i="5"/>
  <c r="S382" i="5"/>
  <c r="X224" i="5"/>
  <c r="X288" i="5"/>
  <c r="X116" i="5"/>
  <c r="X236" i="5"/>
  <c r="X300" i="5"/>
  <c r="X334" i="5"/>
  <c r="X297" i="5"/>
  <c r="X592" i="5"/>
  <c r="X533" i="5"/>
  <c r="S533" i="5"/>
  <c r="X438" i="5"/>
  <c r="X545" i="5"/>
  <c r="X216" i="5"/>
  <c r="S355" i="5"/>
  <c r="X588" i="5"/>
  <c r="S602" i="5"/>
  <c r="X497" i="5"/>
  <c r="X312" i="5"/>
  <c r="X358" i="5"/>
  <c r="X549" i="5"/>
  <c r="X124" i="5"/>
  <c r="S603" i="5"/>
  <c r="X248" i="5"/>
  <c r="X184" i="5"/>
  <c r="X228" i="5"/>
  <c r="X260" i="5"/>
  <c r="X292" i="5"/>
  <c r="S605" i="5"/>
  <c r="X102" i="5"/>
  <c r="X172" i="5"/>
  <c r="S607" i="5"/>
  <c r="X342" i="5"/>
  <c r="X132" i="5"/>
  <c r="X324" i="5"/>
  <c r="X509" i="5"/>
  <c r="X580" i="5"/>
  <c r="X201" i="5"/>
  <c r="X556" i="5"/>
  <c r="S314" i="5"/>
  <c r="X136" i="5"/>
  <c r="X593" i="5"/>
  <c r="X460" i="5"/>
  <c r="X240" i="5"/>
  <c r="X272" i="5"/>
  <c r="X585" i="5"/>
  <c r="X120" i="5"/>
  <c r="X252" i="5"/>
  <c r="X293" i="5"/>
  <c r="X574"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6" i="6" l="1"/>
  <c r="B65" i="4"/>
  <c r="A47" i="6" s="1"/>
  <c r="J65" i="6"/>
  <c r="J36" i="6"/>
  <c r="A4" i="5"/>
  <c r="J60" i="6"/>
  <c r="J11" i="6"/>
  <c r="I60" i="6"/>
  <c r="I12" i="6"/>
  <c r="C12" i="6" s="1"/>
  <c r="J4" i="6"/>
  <c r="B25" i="4"/>
  <c r="A13" i="6" s="1"/>
  <c r="B12" i="3"/>
  <c r="A27" i="2"/>
  <c r="J58" i="6"/>
  <c r="I5" i="6"/>
  <c r="C5" i="6" s="1"/>
  <c r="I49" i="6"/>
  <c r="C49" i="6" s="1"/>
  <c r="J20" i="6"/>
  <c r="B6" i="4"/>
  <c r="B3" i="3"/>
  <c r="A8" i="2"/>
  <c r="C2" i="3"/>
  <c r="A14" i="2"/>
  <c r="J47" i="6"/>
  <c r="I20" i="6"/>
  <c r="C20" i="6" s="1"/>
  <c r="A66" i="2"/>
  <c r="B12" i="4"/>
  <c r="B2" i="3"/>
  <c r="J67" i="6"/>
  <c r="I27" i="6"/>
  <c r="I54" i="6"/>
  <c r="J15" i="6"/>
  <c r="A72" i="2"/>
  <c r="B15" i="4"/>
  <c r="A7" i="6" s="1"/>
  <c r="A17" i="2"/>
  <c r="B4" i="4"/>
  <c r="B4" i="5"/>
  <c r="A30" i="2"/>
  <c r="A11" i="2"/>
  <c r="B13" i="3"/>
  <c r="A45" i="2"/>
  <c r="C20" i="3"/>
  <c r="A55" i="2"/>
  <c r="E4" i="8"/>
  <c r="B5" i="5" s="1"/>
  <c r="C4" i="8"/>
  <c r="I63" i="6"/>
  <c r="J24" i="6"/>
  <c r="G25" i="4"/>
  <c r="G37" i="4" s="1"/>
  <c r="J51" i="6"/>
  <c r="J9" i="6"/>
  <c r="I51" i="6"/>
  <c r="I10" i="6"/>
  <c r="C10" i="6" s="1"/>
  <c r="A1" i="6"/>
  <c r="B8" i="4"/>
  <c r="A4" i="6" s="1"/>
  <c r="B4" i="3"/>
  <c r="A10" i="2"/>
  <c r="J49" i="6"/>
  <c r="C3" i="6"/>
  <c r="J40" i="6"/>
  <c r="M4" i="5"/>
  <c r="B27" i="3"/>
  <c r="A59" i="2"/>
  <c r="B38" i="4"/>
  <c r="B56" i="4" s="1"/>
  <c r="A39" i="6" s="1"/>
  <c r="A41" i="2"/>
  <c r="B4" i="8"/>
  <c r="J39" i="6"/>
  <c r="A3" i="6"/>
  <c r="A32" i="2"/>
  <c r="B30" i="3"/>
  <c r="A49" i="2"/>
  <c r="I56" i="6"/>
  <c r="I19" i="6"/>
  <c r="C19" i="6" s="1"/>
  <c r="J45" i="6"/>
  <c r="H4" i="5"/>
  <c r="A37" i="2"/>
  <c r="C23" i="3"/>
  <c r="C27" i="3"/>
  <c r="A56" i="2"/>
  <c r="C29" i="3"/>
  <c r="J2" i="5"/>
  <c r="B19" i="4"/>
  <c r="A63" i="2"/>
  <c r="C19" i="3"/>
  <c r="B29" i="4"/>
  <c r="A17" i="6" s="1"/>
  <c r="J4" i="5"/>
  <c r="I4" i="8"/>
  <c r="J62" i="6"/>
  <c r="I17" i="6"/>
  <c r="C17" i="6" s="1"/>
  <c r="B18" i="4"/>
  <c r="A10" i="6" s="1"/>
  <c r="I44" i="6"/>
  <c r="J8" i="6"/>
  <c r="J50" i="6"/>
  <c r="C50" i="6" s="1"/>
  <c r="I9" i="6"/>
  <c r="C9" i="6" s="1"/>
  <c r="O4" i="5"/>
  <c r="B32" i="3"/>
  <c r="A71" i="2"/>
  <c r="A1" i="2"/>
  <c r="I42" i="6"/>
  <c r="D4" i="8"/>
  <c r="J32" i="6"/>
  <c r="B2" i="5"/>
  <c r="B23" i="3"/>
  <c r="A51" i="2"/>
  <c r="B21" i="4"/>
  <c r="A24" i="2"/>
  <c r="J68" i="6"/>
  <c r="I32" i="6"/>
  <c r="B27" i="4"/>
  <c r="A15" i="6" s="1"/>
  <c r="A15" i="2"/>
  <c r="B26" i="3"/>
  <c r="A40" i="2"/>
  <c r="I55" i="6"/>
  <c r="A1" i="8"/>
  <c r="J37" i="6"/>
  <c r="B17" i="4"/>
  <c r="A9" i="6" s="1"/>
  <c r="A19" i="2"/>
  <c r="C15" i="3"/>
  <c r="C11" i="3"/>
  <c r="A4" i="2"/>
  <c r="C21" i="3"/>
  <c r="B7" i="4"/>
  <c r="G3" i="5"/>
  <c r="A46" i="2"/>
  <c r="C3" i="3"/>
  <c r="B17" i="3"/>
  <c r="A38" i="2"/>
  <c r="I31" i="6"/>
  <c r="C30" i="3"/>
  <c r="K4" i="5"/>
  <c r="B22" i="3"/>
  <c r="A23" i="2"/>
  <c r="J54" i="6"/>
  <c r="I67" i="6"/>
  <c r="I26" i="6"/>
  <c r="C26" i="6" s="1"/>
  <c r="D2" i="4"/>
  <c r="A2" i="2"/>
  <c r="C7" i="3"/>
  <c r="A60" i="2"/>
  <c r="C17" i="3"/>
  <c r="C13" i="3"/>
  <c r="C28" i="3"/>
  <c r="B39" i="4"/>
  <c r="B69" i="4" s="1"/>
  <c r="A50" i="6" s="1"/>
  <c r="A29" i="2"/>
  <c r="A43" i="2"/>
  <c r="A20" i="2"/>
  <c r="J30" i="6"/>
  <c r="B46" i="4"/>
  <c r="A31" i="6" s="1"/>
  <c r="B15" i="3"/>
  <c r="A33" i="2"/>
  <c r="C26" i="3"/>
  <c r="B18" i="3"/>
  <c r="I57" i="6"/>
  <c r="I30" i="6"/>
  <c r="C22" i="3"/>
  <c r="I74" i="4"/>
  <c r="B14" i="3"/>
  <c r="A4" i="8"/>
  <c r="I47" i="6"/>
  <c r="J66" i="6"/>
  <c r="J25" i="6"/>
  <c r="C25" i="6" s="1"/>
  <c r="C24" i="3"/>
  <c r="F4" i="5"/>
  <c r="A70" i="2"/>
  <c r="A26" i="2"/>
  <c r="A39" i="2"/>
  <c r="C5" i="3"/>
  <c r="C12" i="3"/>
  <c r="B9" i="4"/>
  <c r="A5" i="6" s="1"/>
  <c r="A12" i="2"/>
  <c r="N4" i="5"/>
  <c r="A3" i="2"/>
  <c r="E4" i="5"/>
  <c r="I22" i="6"/>
  <c r="I58" i="6"/>
  <c r="J29" i="6"/>
  <c r="B22" i="4"/>
  <c r="A12" i="6" s="1"/>
  <c r="B11" i="3"/>
  <c r="A25" i="2"/>
  <c r="C18" i="3"/>
  <c r="A57" i="2"/>
  <c r="J56" i="6"/>
  <c r="I29" i="6"/>
  <c r="C29" i="6" s="1"/>
  <c r="C14" i="3"/>
  <c r="B45" i="4"/>
  <c r="A30" i="6" s="1"/>
  <c r="B10" i="3"/>
  <c r="I69" i="6"/>
  <c r="J46" i="6"/>
  <c r="C46" i="6" s="1"/>
  <c r="J64" i="6"/>
  <c r="J17" i="6"/>
  <c r="C16" i="3"/>
  <c r="B40" i="4"/>
  <c r="B58" i="4" s="1"/>
  <c r="A41" i="6" s="1"/>
  <c r="A52" i="2"/>
  <c r="A9" i="2"/>
  <c r="A21" i="2"/>
  <c r="A64" i="2"/>
  <c r="A62" i="2"/>
  <c r="B29" i="3"/>
  <c r="B26" i="4"/>
  <c r="B32" i="4" s="1"/>
  <c r="A19" i="6" s="1"/>
  <c r="C25" i="3"/>
  <c r="B9" i="3"/>
  <c r="H31" i="6"/>
  <c r="D31" i="6" s="1"/>
  <c r="H40" i="6"/>
  <c r="D40" i="6" s="1"/>
  <c r="H35" i="6"/>
  <c r="D35" i="6" s="1"/>
  <c r="H30" i="6"/>
  <c r="D30" i="6" s="1"/>
  <c r="H45" i="6"/>
  <c r="D45" i="6" s="1"/>
  <c r="B22" i="6"/>
  <c r="G17" i="6"/>
  <c r="H17" i="6" s="1"/>
  <c r="D21" i="6"/>
  <c r="F36" i="6"/>
  <c r="H36" i="6" s="1"/>
  <c r="D36" i="6" s="1"/>
  <c r="C41" i="6"/>
  <c r="C21" i="6"/>
  <c r="C16" i="6"/>
  <c r="F51" i="6"/>
  <c r="H51" i="6" s="1"/>
  <c r="D51" i="6" s="1"/>
  <c r="C11" i="6"/>
  <c r="K66" i="6"/>
  <c r="D20" i="6"/>
  <c r="B83" i="4"/>
  <c r="A59" i="6" s="1"/>
  <c r="B79" i="4"/>
  <c r="A57" i="6" s="1"/>
  <c r="B85" i="4"/>
  <c r="A60" i="6" s="1"/>
  <c r="B49" i="4"/>
  <c r="A33" i="6" s="1"/>
  <c r="B31" i="4"/>
  <c r="A18" i="6" s="1"/>
  <c r="B87" i="4"/>
  <c r="A62" i="6" s="1"/>
  <c r="B75" i="4"/>
  <c r="A54" i="6" s="1"/>
  <c r="B81" i="4"/>
  <c r="A58" i="6" s="1"/>
  <c r="B55" i="4"/>
  <c r="A38" i="6" s="1"/>
  <c r="B89" i="4"/>
  <c r="A63" i="6" s="1"/>
  <c r="B43" i="4"/>
  <c r="A28" i="6" s="1"/>
  <c r="B67" i="4"/>
  <c r="A48" i="6" s="1"/>
  <c r="B61" i="4"/>
  <c r="A43" i="6" s="1"/>
  <c r="B77" i="4"/>
  <c r="A55" i="6" s="1"/>
  <c r="B37" i="4"/>
  <c r="A23" i="6" s="1"/>
  <c r="C15" i="6"/>
  <c r="C14" i="6"/>
  <c r="K65" i="6"/>
  <c r="D14" i="6"/>
  <c r="H49" i="6"/>
  <c r="D49" i="6" s="1"/>
  <c r="F65" i="6"/>
  <c r="F39" i="6"/>
  <c r="H39" i="6" s="1"/>
  <c r="D39" i="6" s="1"/>
  <c r="F34" i="6"/>
  <c r="H34" i="6" s="1"/>
  <c r="D34" i="6" s="1"/>
  <c r="F29" i="6"/>
  <c r="H29" i="6" s="1"/>
  <c r="D29" i="6" s="1"/>
  <c r="F44" i="6"/>
  <c r="H44" i="6" s="1"/>
  <c r="D44" i="6" s="1"/>
  <c r="H24" i="6"/>
  <c r="D24" i="6" s="1"/>
  <c r="D55" i="4"/>
  <c r="D49" i="4"/>
  <c r="D61" i="4"/>
  <c r="D74" i="4"/>
  <c r="C8" i="6"/>
  <c r="C7" i="6"/>
  <c r="C4" i="6"/>
  <c r="D31" i="4"/>
  <c r="D43" i="4"/>
  <c r="B71" i="4"/>
  <c r="A52" i="6" s="1"/>
  <c r="B34" i="4"/>
  <c r="A21" i="6" s="1"/>
  <c r="B53" i="4"/>
  <c r="A37" i="6" s="1"/>
  <c r="A27" i="6"/>
  <c r="G64" i="6"/>
  <c r="C45" i="6" l="1"/>
  <c r="C40" i="6"/>
  <c r="C35" i="6"/>
  <c r="C30" i="6"/>
  <c r="B50" i="4"/>
  <c r="A34" i="6" s="1"/>
  <c r="B63" i="4"/>
  <c r="A45" i="6" s="1"/>
  <c r="B62" i="4"/>
  <c r="A44" i="6" s="1"/>
  <c r="A24" i="6"/>
  <c r="B68" i="4"/>
  <c r="A49" i="6" s="1"/>
  <c r="B28" i="5"/>
  <c r="G43" i="4"/>
  <c r="B52" i="4"/>
  <c r="A36" i="6" s="1"/>
  <c r="C20" i="5"/>
  <c r="B64" i="4"/>
  <c r="A46" i="6" s="1"/>
  <c r="B12" i="5"/>
  <c r="A14" i="6"/>
  <c r="B57" i="4"/>
  <c r="A40" i="6" s="1"/>
  <c r="B21" i="5"/>
  <c r="C14" i="5"/>
  <c r="C6" i="5"/>
  <c r="G74" i="4"/>
  <c r="C8" i="5"/>
  <c r="G61" i="4"/>
  <c r="C32" i="5"/>
  <c r="C25" i="5"/>
  <c r="C27" i="5"/>
  <c r="B34" i="5"/>
  <c r="C26" i="5"/>
  <c r="C35" i="5"/>
  <c r="B36" i="5"/>
  <c r="C16" i="5"/>
  <c r="C24" i="5"/>
  <c r="B20" i="5"/>
  <c r="B26" i="5"/>
  <c r="B38" i="5"/>
  <c r="C34" i="5"/>
  <c r="B7" i="5"/>
  <c r="C22" i="5"/>
  <c r="B37" i="5"/>
  <c r="C39" i="5"/>
  <c r="B16" i="5"/>
  <c r="C18" i="5"/>
  <c r="B35" i="5"/>
  <c r="B17" i="5"/>
  <c r="B11" i="5"/>
  <c r="C30" i="5"/>
  <c r="C19" i="5"/>
  <c r="C38" i="5"/>
  <c r="C21" i="5"/>
  <c r="B6" i="5"/>
  <c r="B32" i="5"/>
  <c r="C5" i="5"/>
  <c r="AB5" i="5" s="1"/>
  <c r="C7" i="5"/>
  <c r="V7" i="5" s="1"/>
  <c r="G7" i="5" s="1"/>
  <c r="C33" i="5"/>
  <c r="B31" i="5"/>
  <c r="B40" i="5"/>
  <c r="B19" i="5"/>
  <c r="G49" i="4"/>
  <c r="G67" i="4"/>
  <c r="C12" i="5"/>
  <c r="C31" i="5"/>
  <c r="C13" i="5"/>
  <c r="B39" i="5"/>
  <c r="B15" i="5"/>
  <c r="B8" i="5"/>
  <c r="B33" i="4"/>
  <c r="A20" i="6" s="1"/>
  <c r="B35" i="4"/>
  <c r="A22" i="6" s="1"/>
  <c r="C15" i="5"/>
  <c r="C40" i="5"/>
  <c r="B18" i="5"/>
  <c r="B14" i="5"/>
  <c r="B30" i="5"/>
  <c r="B9" i="5"/>
  <c r="G55" i="4"/>
  <c r="C28" i="5"/>
  <c r="C29" i="5"/>
  <c r="G31" i="4"/>
  <c r="C11" i="5"/>
  <c r="C36" i="5"/>
  <c r="C23" i="5"/>
  <c r="C9" i="5"/>
  <c r="V9" i="5" s="1"/>
  <c r="C37" i="5"/>
  <c r="B27" i="5"/>
  <c r="B23" i="5"/>
  <c r="B13" i="5"/>
  <c r="B24" i="5"/>
  <c r="B25" i="5"/>
  <c r="C17" i="5"/>
  <c r="C10" i="5"/>
  <c r="B10" i="5"/>
  <c r="B29" i="5"/>
  <c r="B22" i="5"/>
  <c r="B33" i="5"/>
  <c r="B70" i="4"/>
  <c r="A51" i="6" s="1"/>
  <c r="A26" i="6"/>
  <c r="A25" i="6"/>
  <c r="B51" i="4"/>
  <c r="A35" i="6" s="1"/>
  <c r="C31" i="6"/>
  <c r="C36" i="6"/>
  <c r="D17" i="6"/>
  <c r="B37" i="6"/>
  <c r="G37" i="6" s="1"/>
  <c r="B47" i="6"/>
  <c r="G47" i="6" s="1"/>
  <c r="F27" i="6"/>
  <c r="B52" i="6"/>
  <c r="G52" i="6" s="1"/>
  <c r="B27" i="6"/>
  <c r="G27" i="6" s="1"/>
  <c r="B32" i="6"/>
  <c r="G32" i="6" s="1"/>
  <c r="B42" i="6"/>
  <c r="G42" i="6" s="1"/>
  <c r="G22" i="6"/>
  <c r="H22" i="6" s="1"/>
  <c r="C51" i="6"/>
  <c r="C2" i="6"/>
  <c r="B2" i="6"/>
  <c r="C34" i="6"/>
  <c r="C44" i="6"/>
  <c r="C39" i="6"/>
  <c r="C24" i="6"/>
  <c r="AB34" i="5"/>
  <c r="B64" i="6"/>
  <c r="H64" i="6"/>
  <c r="V12" i="5" l="1"/>
  <c r="G12" i="5" s="1"/>
  <c r="V16" i="5"/>
  <c r="R16" i="5" s="1"/>
  <c r="AB39" i="5"/>
  <c r="V25" i="5"/>
  <c r="G25" i="5" s="1"/>
  <c r="V28" i="5"/>
  <c r="G28" i="5" s="1"/>
  <c r="V38" i="5"/>
  <c r="G38" i="5" s="1"/>
  <c r="V34" i="5"/>
  <c r="G34" i="5" s="1"/>
  <c r="AB28" i="5"/>
  <c r="AB14" i="5"/>
  <c r="AB38" i="5"/>
  <c r="V15" i="5"/>
  <c r="G15" i="5" s="1"/>
  <c r="AB6" i="5"/>
  <c r="AB26" i="5"/>
  <c r="V5" i="5"/>
  <c r="G5" i="5" s="1"/>
  <c r="V17" i="5"/>
  <c r="F17" i="5" s="1"/>
  <c r="V20" i="5"/>
  <c r="G20" i="5" s="1"/>
  <c r="AB20" i="5"/>
  <c r="AB36" i="5"/>
  <c r="AB16" i="5"/>
  <c r="V14" i="5"/>
  <c r="G14" i="5" s="1"/>
  <c r="V39" i="5"/>
  <c r="G39" i="5" s="1"/>
  <c r="AB12" i="5"/>
  <c r="AB37" i="5"/>
  <c r="AB27" i="5"/>
  <c r="V21" i="5"/>
  <c r="G21" i="5" s="1"/>
  <c r="AB19" i="5"/>
  <c r="AB21" i="5"/>
  <c r="V6" i="5"/>
  <c r="G6" i="5" s="1"/>
  <c r="V26" i="5"/>
  <c r="R26" i="5" s="1"/>
  <c r="AB10" i="5"/>
  <c r="V37" i="5"/>
  <c r="F37" i="5" s="1"/>
  <c r="AB18" i="5"/>
  <c r="V27" i="5"/>
  <c r="G27" i="5" s="1"/>
  <c r="V35" i="5"/>
  <c r="G35" i="5" s="1"/>
  <c r="AB35" i="5"/>
  <c r="V30" i="5"/>
  <c r="G30" i="5" s="1"/>
  <c r="V36" i="5"/>
  <c r="G36" i="5" s="1"/>
  <c r="AB33" i="5"/>
  <c r="AB13" i="5"/>
  <c r="V18" i="5"/>
  <c r="G18" i="5" s="1"/>
  <c r="AB22" i="5"/>
  <c r="AB8" i="5"/>
  <c r="AB30" i="5"/>
  <c r="V19" i="5"/>
  <c r="G19" i="5" s="1"/>
  <c r="AB31" i="5"/>
  <c r="AB15" i="5"/>
  <c r="AB32" i="5"/>
  <c r="V8" i="5"/>
  <c r="G8" i="5" s="1"/>
  <c r="V32" i="5"/>
  <c r="H32" i="5" s="1"/>
  <c r="V24" i="5"/>
  <c r="G24" i="5" s="1"/>
  <c r="AB25" i="5"/>
  <c r="V40" i="5"/>
  <c r="G40" i="5" s="1"/>
  <c r="AB23" i="5"/>
  <c r="G68" i="6" s="1"/>
  <c r="H68" i="6" s="1"/>
  <c r="D68" i="6" s="1"/>
  <c r="AB17" i="5"/>
  <c r="AB11" i="5"/>
  <c r="AB7" i="5"/>
  <c r="G66" i="6" s="1"/>
  <c r="H66" i="6" s="1"/>
  <c r="V33" i="5"/>
  <c r="G33" i="5" s="1"/>
  <c r="V31" i="5"/>
  <c r="G31" i="5" s="1"/>
  <c r="AB40" i="5"/>
  <c r="V11" i="5"/>
  <c r="G11" i="5" s="1"/>
  <c r="V29" i="5"/>
  <c r="G29" i="5" s="1"/>
  <c r="AB24" i="5"/>
  <c r="F69" i="6"/>
  <c r="C69" i="6" s="1"/>
  <c r="AB9" i="5"/>
  <c r="V13" i="5"/>
  <c r="F13" i="5" s="1"/>
  <c r="V23" i="5"/>
  <c r="G23" i="5" s="1"/>
  <c r="AB29" i="5"/>
  <c r="V22" i="5"/>
  <c r="G22" i="5" s="1"/>
  <c r="V10" i="5"/>
  <c r="J10" i="5" s="1"/>
  <c r="F32" i="6"/>
  <c r="H32" i="6" s="1"/>
  <c r="F52" i="6"/>
  <c r="H52" i="6" s="1"/>
  <c r="F68" i="6"/>
  <c r="H27" i="6"/>
  <c r="F42" i="6"/>
  <c r="H42" i="6" s="1"/>
  <c r="F47" i="6"/>
  <c r="H47" i="6" s="1"/>
  <c r="F37" i="6"/>
  <c r="H37" i="6" s="1"/>
  <c r="F54" i="6"/>
  <c r="D22" i="6"/>
  <c r="C22" i="6"/>
  <c r="K68" i="6"/>
  <c r="I34" i="5"/>
  <c r="E34" i="5"/>
  <c r="F34" i="5"/>
  <c r="H34" i="5"/>
  <c r="E5" i="5"/>
  <c r="H5" i="5"/>
  <c r="E12" i="5"/>
  <c r="R12" i="5"/>
  <c r="H12" i="5"/>
  <c r="I12" i="5"/>
  <c r="H38" i="5"/>
  <c r="I38" i="5"/>
  <c r="E38" i="5"/>
  <c r="R38" i="5"/>
  <c r="F38" i="5"/>
  <c r="J38" i="5"/>
  <c r="H9" i="5"/>
  <c r="J9" i="5"/>
  <c r="F9" i="5"/>
  <c r="I9" i="5"/>
  <c r="E9" i="5"/>
  <c r="R9" i="5"/>
  <c r="H7" i="5"/>
  <c r="E7" i="5"/>
  <c r="F7" i="5"/>
  <c r="I7" i="5"/>
  <c r="J7" i="5"/>
  <c r="R7" i="5"/>
  <c r="G9" i="5"/>
  <c r="D64" i="6"/>
  <c r="C64" i="6"/>
  <c r="T9" i="5"/>
  <c r="T7" i="5"/>
  <c r="S34" i="5"/>
  <c r="T38" i="5"/>
  <c r="T10" i="5"/>
  <c r="R34" i="5" l="1"/>
  <c r="F16" i="5"/>
  <c r="J16" i="5"/>
  <c r="F12" i="5"/>
  <c r="E16" i="5"/>
  <c r="X16" i="5" s="1"/>
  <c r="G16" i="5"/>
  <c r="H16" i="5"/>
  <c r="J12" i="5"/>
  <c r="I16" i="5"/>
  <c r="F25" i="5"/>
  <c r="J25" i="5"/>
  <c r="H25" i="5"/>
  <c r="I25" i="5"/>
  <c r="F28" i="5"/>
  <c r="I28" i="5"/>
  <c r="J28" i="5"/>
  <c r="E25" i="5"/>
  <c r="R25" i="5"/>
  <c r="F15" i="5"/>
  <c r="R28" i="5"/>
  <c r="H28" i="5"/>
  <c r="G17" i="5"/>
  <c r="E28" i="5"/>
  <c r="X28" i="5" s="1"/>
  <c r="I15" i="5"/>
  <c r="E15" i="5"/>
  <c r="X15" i="5" s="1"/>
  <c r="G65" i="6"/>
  <c r="H65" i="6" s="1"/>
  <c r="D65" i="6" s="1"/>
  <c r="G67" i="6"/>
  <c r="H67" i="6" s="1"/>
  <c r="C67" i="6" s="1"/>
  <c r="J34" i="5"/>
  <c r="R37" i="5"/>
  <c r="E21" i="5"/>
  <c r="X21" i="5" s="1"/>
  <c r="R17" i="5"/>
  <c r="J17" i="5"/>
  <c r="J15" i="5"/>
  <c r="R15" i="5"/>
  <c r="H15" i="5"/>
  <c r="F35" i="5"/>
  <c r="I17" i="5"/>
  <c r="F5" i="5"/>
  <c r="R5" i="5"/>
  <c r="F20" i="5"/>
  <c r="I20" i="5"/>
  <c r="H39" i="5"/>
  <c r="E17" i="5"/>
  <c r="X17" i="5" s="1"/>
  <c r="J5" i="5"/>
  <c r="H17" i="5"/>
  <c r="I5" i="5"/>
  <c r="J35" i="5"/>
  <c r="E20" i="5"/>
  <c r="X20" i="5" s="1"/>
  <c r="J14" i="5"/>
  <c r="J20" i="5"/>
  <c r="I39" i="5"/>
  <c r="F14" i="5"/>
  <c r="R20" i="5"/>
  <c r="R35" i="5"/>
  <c r="H20" i="5"/>
  <c r="J39" i="5"/>
  <c r="R14" i="5"/>
  <c r="J21" i="5"/>
  <c r="J6" i="5"/>
  <c r="I18" i="5"/>
  <c r="E39" i="5"/>
  <c r="X39" i="5" s="1"/>
  <c r="I6" i="5"/>
  <c r="I35" i="5"/>
  <c r="F26" i="5"/>
  <c r="E14" i="5"/>
  <c r="X14" i="5" s="1"/>
  <c r="R21" i="5"/>
  <c r="G37" i="5"/>
  <c r="R39" i="5"/>
  <c r="I14" i="5"/>
  <c r="E35" i="5"/>
  <c r="X35" i="5" s="1"/>
  <c r="J26" i="5"/>
  <c r="E37" i="5"/>
  <c r="X37" i="5" s="1"/>
  <c r="J27" i="5"/>
  <c r="I21" i="5"/>
  <c r="I27" i="5"/>
  <c r="H21" i="5"/>
  <c r="F39" i="5"/>
  <c r="H14" i="5"/>
  <c r="H35" i="5"/>
  <c r="F21" i="5"/>
  <c r="E6" i="5"/>
  <c r="X6" i="5" s="1"/>
  <c r="R18" i="5"/>
  <c r="F27" i="5"/>
  <c r="I26" i="5"/>
  <c r="H37" i="5"/>
  <c r="H36" i="5"/>
  <c r="R30" i="5"/>
  <c r="R27" i="5"/>
  <c r="J36" i="5"/>
  <c r="H26" i="5"/>
  <c r="J30" i="5"/>
  <c r="R6" i="5"/>
  <c r="H27" i="5"/>
  <c r="E36" i="5"/>
  <c r="X36" i="5" s="1"/>
  <c r="G26" i="5"/>
  <c r="I32" i="5"/>
  <c r="E30" i="5"/>
  <c r="X30" i="5" s="1"/>
  <c r="H6" i="5"/>
  <c r="E27" i="5"/>
  <c r="X27" i="5" s="1"/>
  <c r="I36" i="5"/>
  <c r="E26" i="5"/>
  <c r="X26" i="5" s="1"/>
  <c r="I37" i="5"/>
  <c r="F6" i="5"/>
  <c r="J37" i="5"/>
  <c r="R32" i="5"/>
  <c r="R33" i="5"/>
  <c r="G32" i="5"/>
  <c r="F36" i="5"/>
  <c r="J32" i="5"/>
  <c r="J18" i="5"/>
  <c r="I30" i="5"/>
  <c r="F18" i="5"/>
  <c r="F30" i="5"/>
  <c r="H30" i="5"/>
  <c r="E18" i="5"/>
  <c r="X18" i="5" s="1"/>
  <c r="R36" i="5"/>
  <c r="H18" i="5"/>
  <c r="F32" i="5"/>
  <c r="J40" i="5"/>
  <c r="I40" i="5"/>
  <c r="H19" i="5"/>
  <c r="H40" i="5"/>
  <c r="F40" i="5"/>
  <c r="F19" i="5"/>
  <c r="J8" i="5"/>
  <c r="E19" i="5"/>
  <c r="X19" i="5" s="1"/>
  <c r="I33" i="5"/>
  <c r="J19" i="5"/>
  <c r="F24" i="5"/>
  <c r="I19" i="5"/>
  <c r="R19" i="5"/>
  <c r="J24" i="5"/>
  <c r="E32" i="5"/>
  <c r="X32" i="5" s="1"/>
  <c r="J33" i="5"/>
  <c r="E40" i="5"/>
  <c r="X40" i="5" s="1"/>
  <c r="F33" i="5"/>
  <c r="E8" i="5"/>
  <c r="X8" i="5" s="1"/>
  <c r="H24" i="5"/>
  <c r="R8" i="5"/>
  <c r="I24" i="5"/>
  <c r="F8" i="5"/>
  <c r="R24" i="5"/>
  <c r="I8" i="5"/>
  <c r="E33" i="5"/>
  <c r="X33" i="5" s="1"/>
  <c r="R40" i="5"/>
  <c r="E24" i="5"/>
  <c r="X24" i="5" s="1"/>
  <c r="H8" i="5"/>
  <c r="J11" i="5"/>
  <c r="H31" i="5"/>
  <c r="E23" i="5"/>
  <c r="X23" i="5" s="1"/>
  <c r="H11" i="5"/>
  <c r="E31" i="5"/>
  <c r="X31" i="5" s="1"/>
  <c r="H33" i="5"/>
  <c r="J31" i="5"/>
  <c r="F31" i="5"/>
  <c r="F11" i="5"/>
  <c r="I31" i="5"/>
  <c r="R11" i="5"/>
  <c r="J23" i="5"/>
  <c r="I11" i="5"/>
  <c r="R31" i="5"/>
  <c r="E11" i="5"/>
  <c r="X11" i="5" s="1"/>
  <c r="I29" i="5"/>
  <c r="H29" i="5"/>
  <c r="R23" i="5"/>
  <c r="E29" i="5"/>
  <c r="X29" i="5" s="1"/>
  <c r="F29" i="5"/>
  <c r="J29" i="5"/>
  <c r="R29" i="5"/>
  <c r="I23" i="5"/>
  <c r="H23" i="5"/>
  <c r="I13" i="5"/>
  <c r="E13" i="5"/>
  <c r="X13" i="5" s="1"/>
  <c r="G13" i="5"/>
  <c r="J13" i="5"/>
  <c r="R13" i="5"/>
  <c r="F23" i="5"/>
  <c r="H13" i="5"/>
  <c r="E22" i="5"/>
  <c r="X22" i="5" s="1"/>
  <c r="J22" i="5"/>
  <c r="F22" i="5"/>
  <c r="H22" i="5"/>
  <c r="R22" i="5"/>
  <c r="I22" i="5"/>
  <c r="H10" i="5"/>
  <c r="G10" i="5"/>
  <c r="E10" i="5"/>
  <c r="F10" i="5"/>
  <c r="I10" i="5"/>
  <c r="R10" i="5"/>
  <c r="D37" i="6"/>
  <c r="C37" i="6"/>
  <c r="F55" i="6"/>
  <c r="F62" i="6"/>
  <c r="H62" i="6" s="1"/>
  <c r="F59" i="6"/>
  <c r="H59" i="6" s="1"/>
  <c r="F63" i="6"/>
  <c r="H63" i="6" s="1"/>
  <c r="F60" i="6"/>
  <c r="H60" i="6" s="1"/>
  <c r="F57" i="6"/>
  <c r="H57" i="6" s="1"/>
  <c r="F58" i="6"/>
  <c r="H58" i="6" s="1"/>
  <c r="H54" i="6"/>
  <c r="D47" i="6"/>
  <c r="C47" i="6"/>
  <c r="D42" i="6"/>
  <c r="C42" i="6"/>
  <c r="D27" i="6"/>
  <c r="C27" i="6"/>
  <c r="D52" i="6"/>
  <c r="C52" i="6"/>
  <c r="D32" i="6"/>
  <c r="C32" i="6"/>
  <c r="C68" i="6"/>
  <c r="X34" i="5"/>
  <c r="X25" i="5"/>
  <c r="X9" i="5"/>
  <c r="X38" i="5"/>
  <c r="X12" i="5"/>
  <c r="X7" i="5"/>
  <c r="D66" i="6"/>
  <c r="C66" i="6"/>
  <c r="X5" i="5"/>
  <c r="G69" i="6" a="1"/>
  <c r="G69" i="6" s="1"/>
  <c r="H69" i="6" s="1"/>
  <c r="T16" i="5"/>
  <c r="T12" i="5"/>
  <c r="T25" i="5"/>
  <c r="T28" i="5"/>
  <c r="T34" i="5"/>
  <c r="S21" i="5"/>
  <c r="T21" i="5"/>
  <c r="S26" i="5"/>
  <c r="T33" i="5"/>
  <c r="T22" i="5"/>
  <c r="T17" i="5"/>
  <c r="T6" i="5"/>
  <c r="T32" i="5"/>
  <c r="T11" i="5"/>
  <c r="T15" i="5"/>
  <c r="T26" i="5"/>
  <c r="T18" i="5"/>
  <c r="T31" i="5"/>
  <c r="S11" i="5"/>
  <c r="S40" i="5"/>
  <c r="S9" i="5"/>
  <c r="S17" i="5"/>
  <c r="T13" i="5"/>
  <c r="T5" i="5"/>
  <c r="S37" i="5"/>
  <c r="S18" i="5"/>
  <c r="T23" i="5"/>
  <c r="S6" i="5"/>
  <c r="S33" i="5"/>
  <c r="S25" i="5"/>
  <c r="S32" i="5"/>
  <c r="S30" i="5"/>
  <c r="T8" i="5"/>
  <c r="T35" i="5"/>
  <c r="T27" i="5"/>
  <c r="T40" i="5"/>
  <c r="S29" i="5"/>
  <c r="S8" i="5"/>
  <c r="S14" i="5"/>
  <c r="S24" i="5"/>
  <c r="T29" i="5"/>
  <c r="S13" i="5"/>
  <c r="S31" i="5"/>
  <c r="S5" i="5"/>
  <c r="T39" i="5"/>
  <c r="T14" i="5"/>
  <c r="T37" i="5"/>
  <c r="S20" i="5"/>
  <c r="S12" i="5"/>
  <c r="S39" i="5"/>
  <c r="S36" i="5"/>
  <c r="T19" i="5"/>
  <c r="T24" i="5"/>
  <c r="S15" i="5"/>
  <c r="S7" i="5"/>
  <c r="S28" i="5"/>
  <c r="S35" i="5"/>
  <c r="S23" i="5"/>
  <c r="S16" i="5"/>
  <c r="S10" i="5"/>
  <c r="S27" i="5"/>
  <c r="S19" i="5"/>
  <c r="S38" i="5"/>
  <c r="T20" i="5"/>
  <c r="T36" i="5"/>
  <c r="S22" i="5"/>
  <c r="T30" i="5"/>
  <c r="C65" i="6" l="1"/>
  <c r="D67" i="6"/>
  <c r="X10" i="5"/>
  <c r="D57" i="6"/>
  <c r="C57" i="6"/>
  <c r="C60" i="6"/>
  <c r="D60" i="6"/>
  <c r="D63" i="6"/>
  <c r="C63" i="6"/>
  <c r="D59" i="6"/>
  <c r="C59" i="6"/>
  <c r="D62" i="6"/>
  <c r="C62" i="6"/>
  <c r="H55" i="6"/>
  <c r="F56" i="6"/>
  <c r="H56" i="6" s="1"/>
  <c r="D54" i="6"/>
  <c r="C54" i="6"/>
  <c r="D58" i="6"/>
  <c r="C58"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<sst xmlns="http://schemas.openxmlformats.org/spreadsheetml/2006/main" count="22364" uniqueCount="15805">
  <si>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</si>
  <si>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</si>
  <si>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</si>
  <si>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</si>
  <si>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</si>
  <si>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</si>
  <si>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</si>
  <si>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</si>
  <si>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</si>
  <si>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</si>
  <si>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</si>
  <si>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</si>
  <si>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</si>
  <si>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</si>
  <si>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</si>
  <si>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</si>
  <si>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</si>
  <si>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</si>
  <si>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</si>
  <si>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</si>
  <si>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</si>
  <si>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</si>
  <si>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</si>
  <si>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</si>
  <si>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</si>
  <si>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</si>
  <si>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</si>
  <si>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</si>
  <si>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</si>
  <si>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</si>
  <si>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</si>
  <si>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</si>
  <si>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</si>
  <si>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</si>
  <si>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</si>
  <si>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</si>
  <si>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</si>
  <si>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</si>
  <si>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</si>
  <si>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</si>
  <si>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</si>
  <si>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</si>
  <si>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</si>
  <si>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</si>
  <si>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</si>
  <si>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</si>
  <si>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</si>
  <si>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</si>
  <si>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</si>
  <si>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</si>
  <si>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</si>
  <si>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</si>
  <si>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</si>
  <si>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</si>
  <si>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</si>
  <si>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</si>
  <si>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</si>
  <si>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</si>
  <si>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</si>
  <si>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</si>
  <si>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</si>
  <si>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</si>
  <si>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</si>
  <si>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</si>
  <si>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</si>
  <si>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</si>
  <si>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</si>
  <si>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</si>
  <si>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</si>
  <si>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</si>
  <si>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</si>
  <si>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</si>
  <si>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</si>
  <si>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</si>
  <si>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</si>
  <si>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</si>
  <si>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</si>
  <si>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</si>
  <si>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</si>
  <si>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</si>
  <si>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</si>
  <si>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</si>
  <si>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</si>
  <si>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</si>
  <si>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</si>
  <si>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</si>
  <si>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</si>
  <si>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</si>
  <si>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</si>
  <si>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</si>
  <si>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</si>
  <si>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</si>
  <si>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</si>
  <si>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</si>
  <si>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</si>
  <si>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</si>
  <si>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</si>
  <si>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</si>
  <si>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</si>
  <si>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</si>
  <si>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</si>
  <si>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</si>
  <si>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</si>
  <si>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</si>
  <si>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</si>
  <si>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</si>
  <si>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</si>
  <si>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</si>
  <si>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</si>
  <si>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</si>
  <si>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</si>
  <si>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</si>
  <si>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</si>
  <si>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</si>
  <si>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</si>
  <si>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</si>
  <si>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</si>
  <si>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</si>
  <si>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</si>
  <si>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</si>
  <si>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</si>
  <si>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</si>
  <si>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</si>
  <si>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</si>
  <si>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</si>
  <si>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</si>
  <si>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</si>
  <si>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</si>
  <si>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</si>
  <si>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</si>
  <si>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</si>
  <si>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</si>
  <si>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</si>
  <si>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</si>
  <si>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</si>
  <si>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</si>
  <si>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</si>
  <si>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</si>
  <si>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</si>
  <si>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</si>
  <si>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</si>
  <si>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</si>
  <si>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</si>
  <si>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</si>
  <si>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</si>
  <si>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</si>
  <si>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</si>
  <si>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</si>
  <si>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</si>
  <si>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</si>
  <si>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</si>
  <si>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</si>
  <si>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</si>
  <si>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</si>
  <si>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</si>
  <si>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</si>
  <si>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</si>
  <si>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</si>
  <si>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</si>
  <si>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</si>
  <si>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</si>
  <si>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</si>
  <si>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</si>
  <si>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</si>
  <si>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</si>
  <si>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</si>
  <si>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</si>
  <si>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</si>
  <si>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</si>
  <si>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</si>
  <si>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</si>
  <si>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</si>
  <si>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</si>
  <si>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</si>
  <si>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</si>
  <si>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</si>
  <si>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</si>
  <si>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</si>
  <si>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</si>
  <si>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</si>
  <si>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</si>
  <si>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</si>
  <si>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</si>
  <si>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</si>
  <si>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</si>
  <si>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</si>
  <si>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</si>
  <si>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</si>
  <si>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</si>
  <si>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</si>
  <si>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</si>
  <si>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</si>
  <si>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</si>
  <si>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</si>
  <si>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</si>
  <si>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</si>
  <si>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</si>
  <si>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</si>
  <si>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</si>
  <si>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</si>
  <si>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</si>
  <si>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</si>
  <si>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</si>
  <si>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</si>
  <si>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</si>
  <si>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</si>
  <si>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</si>
  <si>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</si>
  <si>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</si>
  <si>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</si>
  <si>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</si>
  <si>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</si>
  <si>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</si>
  <si>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</si>
  <si>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</si>
  <si>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</si>
  <si>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</si>
  <si>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</si>
  <si>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</si>
  <si>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</si>
  <si>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</si>
  <si>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</si>
  <si>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</si>
  <si>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</si>
  <si>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</si>
  <si>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</si>
  <si>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</si>
  <si>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</si>
  <si>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</si>
  <si>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</si>
  <si>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</si>
  <si>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</si>
  <si>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</si>
  <si>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</si>
  <si>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</si>
  <si>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</si>
  <si>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</si>
  <si>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</si>
  <si>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</si>
  <si>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</si>
  <si>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</si>
  <si>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</si>
  <si>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</si>
  <si>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</si>
  <si>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</si>
  <si>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</si>
  <si>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</si>
  <si>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</si>
  <si>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</si>
  <si>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</si>
  <si>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</si>
  <si>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</si>
  <si>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</si>
  <si>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</si>
  <si>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</si>
  <si>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</si>
  <si>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</si>
  <si>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</si>
  <si>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</si>
  <si>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</si>
  <si>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</si>
  <si>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</si>
  <si>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</si>
  <si>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</si>
  <si>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</si>
  <si>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</si>
  <si>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</si>
  <si>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</si>
  <si>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</si>
  <si>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</si>
  <si>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</si>
  <si>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</si>
  <si>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</si>
  <si>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</si>
  <si>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</si>
  <si>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</si>
  <si>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</si>
  <si>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</si>
  <si>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</si>
  <si>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</si>
  <si>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</si>
  <si>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</si>
  <si>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</si>
  <si>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</si>
  <si>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</si>
  <si>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</si>
  <si>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</si>
  <si>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</si>
  <si>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</si>
  <si>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</si>
  <si>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</si>
  <si>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</si>
  <si>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</si>
  <si>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</si>
  <si>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</si>
  <si>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</si>
  <si>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</si>
  <si>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</si>
  <si>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</si>
  <si>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</si>
  <si>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</si>
  <si>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</si>
  <si>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</si>
  <si>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</si>
  <si>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</si>
  <si>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</si>
  <si>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</si>
  <si>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</si>
  <si>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</si>
  <si>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</si>
  <si>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</si>
  <si>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</si>
  <si>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</si>
  <si>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</si>
  <si>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</si>
  <si>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</si>
  <si>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</si>
  <si>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</si>
  <si>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</si>
  <si>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</si>
  <si>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</si>
  <si>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</si>
  <si>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</si>
  <si>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</si>
  <si>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</si>
  <si>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</si>
  <si>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</si>
  <si>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</si>
  <si>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</si>
  <si>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</si>
  <si>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</si>
  <si>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</si>
  <si>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</si>
  <si>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</si>
  <si>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</si>
  <si>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</si>
  <si>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</si>
  <si>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</si>
  <si>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</si>
  <si>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</si>
  <si>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</si>
  <si>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</si>
  <si>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</si>
  <si>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</si>
  <si>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</si>
  <si>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</si>
  <si>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</si>
  <si>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</si>
  <si>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</si>
  <si>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</si>
  <si>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</si>
  <si>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</si>
  <si>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</si>
  <si>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</si>
  <si>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</si>
  <si>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</si>
  <si>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</si>
  <si>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</si>
  <si>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</si>
  <si>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</si>
  <si>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</si>
  <si>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</si>
  <si>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</si>
  <si>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</si>
  <si>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</si>
  <si>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</si>
  <si>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</si>
  <si>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</si>
  <si>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</si>
  <si>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</si>
  <si>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</si>
  <si>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</si>
  <si>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</si>
  <si>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</si>
  <si>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</si>
  <si>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</si>
  <si>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</si>
  <si>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</si>
  <si>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</si>
  <si>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</si>
  <si>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</si>
  <si>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</si>
  <si>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</si>
  <si>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</si>
  <si>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</si>
  <si>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</si>
  <si>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</si>
  <si>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</si>
  <si>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</si>
  <si>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</si>
  <si>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</si>
  <si>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</si>
  <si>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</si>
  <si>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</si>
  <si>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</si>
  <si>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</si>
  <si>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</si>
  <si>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</si>
  <si>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</si>
  <si>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</si>
  <si>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</si>
  <si>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</si>
  <si>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</si>
  <si>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</si>
  <si>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</si>
  <si>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</si>
  <si>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</si>
  <si>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</si>
  <si>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</si>
  <si>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</si>
  <si>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</si>
  <si>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</si>
  <si>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</si>
  <si>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</si>
  <si>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</si>
  <si>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</si>
  <si>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</si>
  <si>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</si>
  <si>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</si>
  <si>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</si>
  <si>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</si>
  <si>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</si>
  <si>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</si>
  <si>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</si>
  <si>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</si>
  <si>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</si>
  <si>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</si>
  <si>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</si>
  <si>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</si>
  <si>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</si>
  <si>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</si>
  <si>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</si>
  <si>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</si>
  <si>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</si>
  <si>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</si>
  <si>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</si>
  <si>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</si>
  <si>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</si>
  <si>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</si>
  <si>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</si>
  <si>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</si>
  <si>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</si>
  <si>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</si>
  <si>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</si>
  <si>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</si>
  <si>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</si>
  <si>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</si>
  <si>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</si>
  <si>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</si>
  <si>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</si>
  <si>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</si>
  <si>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</si>
  <si>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</si>
  <si>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</si>
  <si>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</si>
  <si>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</si>
  <si>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</si>
  <si>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</si>
  <si>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</si>
  <si>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</si>
  <si>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</si>
  <si>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</si>
  <si>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</si>
  <si>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</si>
  <si>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</si>
  <si>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</si>
  <si>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</si>
  <si>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</si>
  <si>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</si>
  <si>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</si>
  <si>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</si>
  <si>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</si>
  <si>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</si>
  <si>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</si>
  <si>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</si>
  <si>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</si>
  <si>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</si>
  <si>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</si>
  <si>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</si>
  <si>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</si>
  <si>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</si>
  <si>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</si>
  <si>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</si>
  <si>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</si>
  <si>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</si>
  <si>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</si>
  <si>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</si>
  <si>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</si>
  <si>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</si>
  <si>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</si>
  <si>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</si>
  <si>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</si>
  <si>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</si>
  <si>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</si>
  <si>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</si>
  <si>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</si>
  <si>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</si>
  <si>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</si>
  <si>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</si>
  <si>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</si>
  <si>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</si>
  <si>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</si>
  <si>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</si>
  <si>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</si>
  <si>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</si>
  <si>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</si>
  <si>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</si>
  <si>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</si>
  <si>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</si>
  <si>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</si>
  <si>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</si>
  <si>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</si>
  <si>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</si>
  <si>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</si>
  <si>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</si>
  <si>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</si>
  <si>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</si>
  <si>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</si>
  <si>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</si>
  <si>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</si>
  <si>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</si>
  <si>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</si>
  <si>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</si>
  <si>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</si>
  <si>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</si>
  <si>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</si>
  <si>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</si>
  <si>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</si>
  <si>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</si>
  <si>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</si>
  <si>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</si>
  <si>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</si>
  <si>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</si>
  <si>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</si>
  <si>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</si>
  <si>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</si>
  <si>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</si>
  <si>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</si>
  <si>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</si>
  <si>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</si>
  <si>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</si>
  <si>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</si>
  <si>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</si>
  <si>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</si>
  <si>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</si>
  <si>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</si>
  <si>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</si>
  <si>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</si>
  <si>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</si>
  <si>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</si>
  <si>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</si>
  <si>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</si>
  <si>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</si>
  <si>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</si>
  <si>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</si>
  <si>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</si>
  <si>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</si>
  <si>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</si>
  <si>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</si>
  <si>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</si>
  <si>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</si>
  <si>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</si>
  <si>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</si>
  <si>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</si>
  <si>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</si>
  <si>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</si>
  <si>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</si>
  <si>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</si>
  <si>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</si>
  <si>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</si>
  <si>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</si>
  <si>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</si>
  <si>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</si>
  <si>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</si>
  <si>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</si>
  <si>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</si>
  <si>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</si>
  <si>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</si>
  <si>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</si>
  <si>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</si>
  <si>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</si>
  <si>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</si>
  <si>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</si>
  <si>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</si>
  <si>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</si>
  <si>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</si>
  <si>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</si>
  <si>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</si>
  <si>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</si>
  <si>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</si>
  <si>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</si>
  <si>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</si>
  <si>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</si>
  <si>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</si>
  <si>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</si>
  <si>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</si>
  <si>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</si>
  <si>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</si>
  <si>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</si>
  <si>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</si>
  <si>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</si>
  <si>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</si>
  <si>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</si>
  <si>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</si>
  <si>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</si>
  <si>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</si>
  <si>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</si>
  <si>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</si>
  <si>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</si>
  <si>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</si>
  <si>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</si>
  <si>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</si>
  <si>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</si>
  <si>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</si>
  <si>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</si>
  <si>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</si>
  <si>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</si>
  <si>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</si>
  <si>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</si>
  <si>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</si>
  <si>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</si>
  <si>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</si>
  <si>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</si>
  <si>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</si>
  <si>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</si>
  <si>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</si>
  <si>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</si>
  <si>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</si>
  <si>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</si>
  <si>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</si>
  <si>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</si>
  <si>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</si>
  <si>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</si>
  <si>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</si>
  <si>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</si>
  <si>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</si>
  <si>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</si>
  <si>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</si>
  <si>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</si>
  <si>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</si>
  <si>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</si>
  <si>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</si>
  <si>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</si>
  <si>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</si>
  <si>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</si>
  <si>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</si>
  <si>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</si>
  <si>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</si>
  <si>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</si>
  <si>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</si>
  <si>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</si>
  <si>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</si>
  <si>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</si>
  <si>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</si>
  <si>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</si>
  <si>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</si>
  <si>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</si>
  <si>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</si>
  <si>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</si>
  <si>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</si>
  <si>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</si>
  <si>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</si>
  <si>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</si>
  <si>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</si>
  <si>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</si>
  <si>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</si>
  <si>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</si>
  <si>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</si>
  <si>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</si>
  <si>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</si>
  <si>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</si>
  <si>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</si>
  <si>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</si>
  <si>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</si>
  <si>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</si>
  <si>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</si>
  <si>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</si>
  <si>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</si>
  <si>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</si>
  <si>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</si>
  <si>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</si>
  <si>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</si>
  <si>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</si>
  <si>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</si>
  <si>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</si>
  <si>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</si>
  <si>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</si>
  <si>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</si>
  <si>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</si>
  <si>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</si>
  <si>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</si>
  <si>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</si>
  <si>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</si>
  <si>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</si>
  <si>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</si>
  <si>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</si>
  <si>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</si>
  <si>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</si>
  <si>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</si>
  <si>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</si>
  <si>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</si>
  <si>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</si>
  <si>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</si>
  <si>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</si>
  <si>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</si>
  <si>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</si>
  <si>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</si>
  <si>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</si>
  <si>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</si>
  <si>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</si>
  <si>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</si>
  <si>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</si>
  <si>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</si>
  <si>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</si>
  <si>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</si>
  <si>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</si>
  <si>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</si>
  <si>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</si>
  <si>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</si>
  <si>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</si>
  <si>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</si>
  <si>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</si>
  <si>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</si>
  <si>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</si>
  <si>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</si>
  <si>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</si>
  <si>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</si>
  <si>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</si>
  <si>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</si>
  <si>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</si>
  <si>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</si>
  <si>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</si>
  <si>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</si>
  <si>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</si>
  <si>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</si>
  <si>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</si>
  <si>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</si>
  <si>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</si>
  <si>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</si>
  <si>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</si>
  <si>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</si>
  <si>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</si>
  <si>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</si>
  <si>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</si>
  <si>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</si>
  <si>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</si>
  <si>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</si>
  <si>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</si>
  <si>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</si>
  <si>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</si>
  <si>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</si>
  <si>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</si>
  <si>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</si>
  <si>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</si>
  <si>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</si>
  <si>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</si>
  <si>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</si>
  <si>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</si>
  <si>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</si>
  <si>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</si>
  <si>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</si>
  <si>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</si>
  <si>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</si>
  <si>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</si>
  <si>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</si>
  <si>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</si>
  <si>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</si>
  <si>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</si>
  <si>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</si>
  <si>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</si>
  <si>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</si>
  <si>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</si>
  <si>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</si>
  <si>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</si>
  <si>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</si>
  <si>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</si>
  <si>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</si>
  <si>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</si>
  <si>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</si>
  <si>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</si>
  <si>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</si>
  <si>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</si>
  <si>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</si>
  <si>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</si>
  <si>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</si>
  <si>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</si>
  <si>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</si>
  <si>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</si>
  <si>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</si>
  <si>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</si>
  <si>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</si>
  <si>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</si>
  <si>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</si>
  <si>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</si>
  <si>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</si>
  <si>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</si>
  <si>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</si>
  <si>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</si>
  <si>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</si>
  <si>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</si>
  <si>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</si>
  <si>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</si>
  <si>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</si>
  <si>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</si>
  <si>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</si>
  <si>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</si>
  <si>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</si>
  <si>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</si>
  <si>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</si>
  <si>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</si>
  <si>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</si>
  <si>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</si>
  <si>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</si>
  <si>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</si>
  <si>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</si>
  <si>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</si>
  <si>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</si>
  <si>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</si>
  <si>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</si>
  <si>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</si>
  <si>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</si>
  <si>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</si>
  <si>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</si>
  <si>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</si>
  <si>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</si>
  <si>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</si>
  <si>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</si>
  <si>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</si>
  <si>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</si>
  <si>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</si>
  <si>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</si>
  <si>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</si>
  <si>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</si>
  <si>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</si>
  <si>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</si>
  <si>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</si>
  <si>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</si>
  <si>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</si>
  <si>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</si>
  <si>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</si>
  <si>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</si>
  <si>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</si>
  <si>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</si>
  <si>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</si>
  <si>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</si>
  <si>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</si>
  <si>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</si>
  <si>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</si>
  <si>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</si>
  <si>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</si>
  <si>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</si>
  <si>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</si>
  <si>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</si>
  <si>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</si>
  <si>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</si>
  <si>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</si>
  <si>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</si>
  <si>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</si>
  <si>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</si>
  <si>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</si>
  <si>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</si>
  <si>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</si>
  <si>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</si>
  <si>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</si>
  <si>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</si>
  <si>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</si>
  <si>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</si>
  <si>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</si>
  <si>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</si>
  <si>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</si>
  <si>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</si>
  <si>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</si>
  <si>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</si>
  <si>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</si>
  <si>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</si>
  <si>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</si>
  <si>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</si>
  <si>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</si>
  <si>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</si>
  <si>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</si>
  <si>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</si>
  <si>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</si>
  <si>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</si>
  <si>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</si>
  <si>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</si>
  <si>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</si>
  <si>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</si>
  <si>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</si>
  <si>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</si>
  <si>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</si>
  <si>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</si>
  <si>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</si>
  <si>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</si>
  <si>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</si>
  <si>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</si>
  <si>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</si>
  <si>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</si>
  <si>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</si>
  <si>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</si>
  <si>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</si>
  <si>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</si>
  <si>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</si>
  <si>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</si>
  <si>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</si>
  <si>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</si>
  <si>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</si>
  <si>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</si>
  <si>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</si>
  <si>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</si>
  <si>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</si>
  <si>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</si>
  <si>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</si>
  <si>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</si>
  <si>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</si>
  <si>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</si>
  <si>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</si>
  <si>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</si>
  <si>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</si>
  <si>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</si>
  <si>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</si>
  <si>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</si>
  <si>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</si>
  <si>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</si>
  <si>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</si>
  <si>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</si>
  <si>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</si>
  <si>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</si>
  <si>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</si>
  <si>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</si>
  <si>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</si>
  <si>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</si>
  <si>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</si>
  <si>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</si>
  <si>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</si>
  <si>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</si>
  <si>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</si>
  <si>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</si>
  <si>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</si>
  <si>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</si>
  <si>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</si>
  <si>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</si>
  <si>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</si>
  <si>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</si>
  <si>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</si>
  <si>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</si>
  <si>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</si>
  <si>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</si>
  <si>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</si>
  <si>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</si>
  <si>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</si>
  <si>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</si>
  <si>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</si>
  <si>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</si>
  <si>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</si>
  <si>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</si>
  <si>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</si>
  <si>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</si>
  <si>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</si>
  <si>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</si>
  <si>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</si>
  <si>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</si>
  <si>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</si>
  <si>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</si>
  <si>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</si>
  <si>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</si>
  <si>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</si>
  <si>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</si>
  <si>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</si>
  <si>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</si>
  <si>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</si>
  <si>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</si>
  <si>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</si>
  <si>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</si>
  <si>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</si>
  <si>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</si>
  <si>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</si>
  <si>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</si>
  <si>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</si>
  <si>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</si>
  <si>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</si>
  <si>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</si>
  <si>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</si>
  <si>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</si>
  <si>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</si>
  <si>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</si>
  <si>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</si>
  <si>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</si>
  <si>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</si>
  <si>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</si>
  <si>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</si>
  <si>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</si>
  <si>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</si>
  <si>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</si>
  <si>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</si>
  <si>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</si>
  <si>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</si>
  <si>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</si>
  <si>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</si>
  <si>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</si>
  <si>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</si>
  <si>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</si>
  <si>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</si>
  <si>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</si>
  <si>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</si>
  <si>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</si>
  <si>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</si>
  <si>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</si>
  <si>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</si>
  <si>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</si>
  <si>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</si>
  <si>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</si>
  <si>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</si>
  <si>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</si>
  <si>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</si>
  <si>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</si>
  <si>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</si>
  <si>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</si>
  <si>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</si>
  <si>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</si>
  <si>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</si>
  <si>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</si>
  <si>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</si>
  <si>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</si>
  <si>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</si>
  <si>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</si>
  <si>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</si>
  <si>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</si>
  <si>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</si>
  <si>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</si>
  <si>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</si>
  <si>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</si>
  <si>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</si>
  <si>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</si>
  <si>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</si>
  <si>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</si>
  <si>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</si>
  <si>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</si>
  <si>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</si>
  <si>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</si>
  <si>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</si>
  <si>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</si>
  <si>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</si>
  <si>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</si>
  <si>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</si>
  <si>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</si>
  <si>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</si>
  <si>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</si>
  <si>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</si>
  <si>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</si>
  <si>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</si>
  <si>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</si>
  <si>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</si>
  <si>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</si>
  <si>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</si>
  <si>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</si>
  <si>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</si>
  <si>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</si>
  <si>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</si>
  <si>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</si>
  <si>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</si>
  <si>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</si>
  <si>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</si>
  <si>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</si>
  <si>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</si>
  <si>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</si>
  <si>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</si>
  <si>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</si>
  <si>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</si>
  <si>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</si>
  <si>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</si>
  <si>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</si>
  <si>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</si>
  <si>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</si>
  <si>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</si>
  <si>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</si>
  <si>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</si>
  <si>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</si>
  <si>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</si>
  <si>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</si>
  <si>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</si>
  <si>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</si>
  <si>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</si>
  <si>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</si>
  <si>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</si>
  <si>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</si>
  <si>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</si>
  <si>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</si>
  <si>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</si>
  <si>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</si>
  <si>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</si>
  <si>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</si>
  <si>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</si>
  <si>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</si>
  <si>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</si>
  <si>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</si>
  <si>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</si>
  <si>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</si>
  <si>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</si>
  <si>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</si>
  <si>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</si>
  <si>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</si>
  <si>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</si>
  <si>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</si>
  <si>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</si>
  <si>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</si>
  <si>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</si>
  <si>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</si>
  <si>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</si>
  <si>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</si>
  <si>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</si>
  <si>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</si>
  <si>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</si>
  <si>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</si>
  <si>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</si>
  <si>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</si>
  <si>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</si>
  <si>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</si>
  <si>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</si>
  <si>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</si>
  <si>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</si>
  <si>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</si>
  <si>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</si>
  <si>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</si>
  <si>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</si>
  <si>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</si>
  <si>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</si>
  <si>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</si>
  <si>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</si>
  <si>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</si>
  <si>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</si>
  <si>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</si>
  <si>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</si>
  <si>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</si>
  <si>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</si>
  <si>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</si>
  <si>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</si>
  <si>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</si>
  <si>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</si>
  <si>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</si>
  <si>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</si>
  <si>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</si>
  <si>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</si>
  <si>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</si>
  <si>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</si>
  <si>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</si>
  <si>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</si>
  <si>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</si>
  <si>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</si>
  <si>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</si>
  <si>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</si>
  <si>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</si>
  <si>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</si>
  <si>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</si>
  <si>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</si>
  <si>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</si>
  <si>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</si>
  <si>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</si>
  <si>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</si>
  <si>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</si>
  <si>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</si>
  <si>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</si>
  <si>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</si>
  <si>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</si>
  <si>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</si>
  <si>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</si>
  <si>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</si>
  <si>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</si>
  <si>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</si>
  <si>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</si>
  <si>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</si>
  <si>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</si>
  <si>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</si>
  <si>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</si>
  <si>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</si>
  <si>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</si>
  <si>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</si>
  <si>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</si>
  <si>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</si>
  <si>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</si>
  <si>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</si>
  <si>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</si>
  <si>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</si>
  <si>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</si>
  <si>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</si>
  <si>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</si>
  <si>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</si>
  <si>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</si>
  <si>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</si>
  <si>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</si>
  <si>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</si>
  <si>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</si>
  <si>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</si>
  <si>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</si>
  <si>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</si>
  <si>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</si>
  <si>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</si>
  <si>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</si>
  <si>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</si>
  <si>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</si>
  <si>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</si>
  <si>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</si>
  <si>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</si>
  <si>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</si>
  <si>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</si>
  <si>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</si>
  <si>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</si>
  <si>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</si>
  <si>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</si>
  <si>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</si>
  <si>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</si>
  <si>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</si>
  <si>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</si>
  <si>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</si>
  <si>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</si>
  <si>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</si>
  <si>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</si>
  <si>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</si>
  <si>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</si>
  <si>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</si>
  <si>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</si>
  <si>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</si>
  <si>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</si>
  <si>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</si>
  <si>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</si>
  <si>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</si>
  <si>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</si>
  <si>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</si>
  <si>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</si>
  <si>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</si>
  <si>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</si>
  <si>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</si>
  <si>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</si>
  <si>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</si>
  <si>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</si>
  <si>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</si>
  <si>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</si>
  <si>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</si>
  <si>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</si>
  <si>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</si>
  <si>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</si>
  <si>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</si>
  <si>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</si>
  <si>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</si>
  <si>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</si>
  <si>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</si>
  <si>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</si>
  <si>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</si>
  <si>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</si>
  <si>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</si>
  <si>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</si>
  <si>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</si>
  <si>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</si>
  <si>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</si>
  <si>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</si>
  <si>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</si>
  <si>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</si>
  <si>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</si>
  <si>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</si>
  <si>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</si>
  <si>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</si>
  <si>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</si>
  <si>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</si>
  <si>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</si>
  <si>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</si>
  <si>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</si>
  <si>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</si>
  <si>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</si>
  <si>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</si>
  <si>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</si>
  <si>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</si>
  <si>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</si>
  <si>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</si>
  <si>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</si>
  <si>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</si>
  <si>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</si>
  <si>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</si>
  <si>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</si>
  <si>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</si>
  <si>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</si>
  <si>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</si>
  <si>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</si>
  <si>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</si>
  <si>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</si>
  <si>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</si>
  <si>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</si>
  <si>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</si>
  <si>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</si>
  <si>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</si>
  <si>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</si>
  <si>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</si>
  <si>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</si>
  <si>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</si>
  <si>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</si>
  <si>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</si>
  <si>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</si>
  <si>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</si>
  <si>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</si>
  <si>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</si>
  <si>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</si>
  <si>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</si>
  <si>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</si>
  <si>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</si>
  <si>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</si>
  <si>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</si>
  <si>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</si>
  <si>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</si>
  <si>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</si>
  <si>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</si>
  <si>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</si>
  <si>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</si>
  <si>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</si>
  <si>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</si>
  <si>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</si>
  <si>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</si>
  <si>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</si>
  <si>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</si>
  <si>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</si>
  <si>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</si>
  <si>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</si>
  <si>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</si>
  <si>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</si>
  <si>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</si>
  <si>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</si>
  <si>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</si>
  <si>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</si>
  <si>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</si>
  <si>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</si>
  <si>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</si>
  <si>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</si>
  <si>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</si>
  <si>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</si>
  <si>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</si>
  <si>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</si>
  <si>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</si>
  <si>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</si>
  <si>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</si>
  <si>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</si>
  <si>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</si>
  <si>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</si>
  <si>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</si>
  <si>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</si>
  <si>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</si>
  <si>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</si>
  <si>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</si>
  <si>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</si>
  <si>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</si>
  <si>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</si>
  <si>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</si>
  <si>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</si>
  <si>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</si>
  <si>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</si>
  <si>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</si>
  <si>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</si>
  <si>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</si>
  <si>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</si>
  <si>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</si>
  <si>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</si>
  <si>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</si>
  <si>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</si>
  <si>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</si>
  <si>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</si>
  <si>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</si>
  <si>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</si>
  <si>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</si>
  <si>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</si>
  <si>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</si>
  <si>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</si>
  <si>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</si>
  <si>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</si>
  <si>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</si>
  <si>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</si>
  <si>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</si>
  <si>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</si>
  <si>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</si>
  <si>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</si>
  <si>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</si>
  <si>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</si>
  <si>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</si>
  <si>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</si>
  <si>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</si>
  <si>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</si>
  <si>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</si>
  <si>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</si>
  <si>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</si>
  <si>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</si>
  <si>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</si>
  <si>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</si>
  <si>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</si>
  <si>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</si>
  <si>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</si>
  <si>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</si>
  <si>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</si>
  <si>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</si>
  <si>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</si>
  <si>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</si>
  <si>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</si>
  <si>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</si>
  <si>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</si>
  <si>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</si>
  <si>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</si>
  <si>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</si>
  <si>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</si>
  <si>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</si>
  <si>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</si>
  <si>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</si>
  <si>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</si>
  <si>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</si>
  <si>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</si>
  <si>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</si>
  <si>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</si>
  <si>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</si>
  <si>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</si>
  <si>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</si>
  <si>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</si>
  <si>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</si>
  <si>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</si>
  <si>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</si>
  <si>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</si>
  <si>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</si>
  <si>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</si>
  <si>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</si>
  <si>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</si>
  <si>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</si>
  <si>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</si>
  <si>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</si>
  <si>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</si>
  <si>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</si>
  <si>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</si>
  <si>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</si>
  <si>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</si>
  <si>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</si>
  <si>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</si>
  <si>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</si>
  <si>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</si>
  <si>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</si>
  <si>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</si>
  <si>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</si>
  <si>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</si>
  <si>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</si>
  <si>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</si>
  <si>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</si>
  <si>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</si>
  <si>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</si>
  <si>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</si>
  <si>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</si>
  <si>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</si>
  <si>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</si>
  <si>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</si>
  <si>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</si>
  <si>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</si>
  <si>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</si>
  <si>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</si>
  <si>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</si>
  <si>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</si>
  <si>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</si>
  <si>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</si>
  <si>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</si>
  <si>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</si>
  <si>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</si>
  <si>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</si>
  <si>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</si>
  <si>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</si>
  <si>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</si>
  <si>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</si>
  <si>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</si>
  <si>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</si>
  <si>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</si>
  <si>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</si>
  <si>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</si>
  <si>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</si>
  <si>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</si>
  <si>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</si>
  <si>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</si>
  <si>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</si>
  <si>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</si>
  <si>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</si>
  <si>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</si>
  <si>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</si>
  <si>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</si>
  <si>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</si>
  <si>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</si>
  <si>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</si>
  <si>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</si>
  <si>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</si>
  <si>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</si>
  <si>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</si>
  <si>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</si>
  <si>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</si>
  <si>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</si>
  <si>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</si>
  <si>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</si>
  <si>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</si>
  <si>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</si>
  <si>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</si>
  <si>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</si>
  <si>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</si>
  <si>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</si>
  <si>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</si>
  <si>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</si>
  <si>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</si>
  <si>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</si>
  <si>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</si>
  <si>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</si>
  <si>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</si>
  <si>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</si>
  <si>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</si>
  <si>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</si>
  <si>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</si>
  <si>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</si>
  <si>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</si>
  <si>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</si>
  <si>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</si>
  <si>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</si>
  <si>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</si>
  <si>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</si>
  <si>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</si>
  <si>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</si>
  <si>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</si>
  <si>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</si>
  <si>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</si>
  <si>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</si>
  <si>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</si>
  <si>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</si>
  <si>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</si>
  <si>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</si>
  <si>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</si>
  <si>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</si>
  <si>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</si>
  <si>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</si>
  <si>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</si>
  <si>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</si>
  <si>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</si>
  <si>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</si>
  <si>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</si>
  <si>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</si>
  <si>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</si>
  <si>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</si>
  <si>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</si>
  <si>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</si>
  <si>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</si>
  <si>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</si>
  <si>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</si>
  <si>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</si>
  <si>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</si>
  <si>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</si>
  <si>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</si>
  <si>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</si>
  <si>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</si>
  <si>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</si>
  <si>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</si>
  <si>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</si>
  <si>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</si>
  <si>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</si>
  <si>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</si>
  <si>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</si>
  <si>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</si>
  <si>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</si>
  <si>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</si>
  <si>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</si>
  <si>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</si>
  <si>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</si>
  <si>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</si>
  <si>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</si>
  <si>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</si>
  <si>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</si>
  <si>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</si>
  <si>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</si>
  <si>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</si>
  <si>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</si>
  <si>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</si>
  <si>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</si>
  <si>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</si>
  <si>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</si>
  <si>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</si>
  <si>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</si>
  <si>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</si>
  <si>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</si>
  <si>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</si>
  <si>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</si>
  <si>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</si>
  <si>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</si>
  <si>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</si>
  <si>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</si>
  <si>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</si>
  <si>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</si>
  <si>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</si>
  <si>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</si>
  <si>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</si>
  <si>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</si>
  <si>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</si>
  <si>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</si>
  <si>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</si>
  <si>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</si>
  <si>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</si>
  <si>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</si>
  <si>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</si>
  <si>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</si>
  <si>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</si>
  <si>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</si>
  <si>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</si>
  <si>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</si>
  <si>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</si>
  <si>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</si>
  <si>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</si>
  <si>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</si>
  <si>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</si>
  <si>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</si>
  <si>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</si>
  <si>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</si>
  <si>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</si>
  <si>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</si>
  <si>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</si>
  <si>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</si>
  <si>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</si>
  <si>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</si>
  <si>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</si>
  <si>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</si>
  <si>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</si>
  <si>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</si>
  <si>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</si>
  <si>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</si>
  <si>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</si>
  <si>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</si>
  <si>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</si>
  <si>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</si>
  <si>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</si>
  <si>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</si>
  <si>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</si>
  <si>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</si>
  <si>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</si>
  <si>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</si>
  <si>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</si>
  <si>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</si>
  <si>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</si>
  <si>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</si>
  <si>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</si>
  <si>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</si>
  <si>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</si>
  <si>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</si>
  <si>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</si>
  <si>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</si>
  <si>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</si>
  <si>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</si>
  <si>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</si>
  <si>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</si>
  <si>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</si>
  <si>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</si>
  <si>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</si>
  <si>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</si>
  <si>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</si>
  <si>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</si>
  <si>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</si>
  <si>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</si>
  <si>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</si>
  <si>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</si>
  <si>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</si>
  <si>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</si>
  <si>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</si>
  <si>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</si>
  <si>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</si>
  <si>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</si>
  <si>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</si>
  <si>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</si>
  <si>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</si>
  <si>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</si>
  <si>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</si>
  <si>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</si>
  <si>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</si>
  <si>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</si>
  <si>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</si>
  <si>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</si>
  <si>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</si>
  <si>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</si>
  <si>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</si>
  <si>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</si>
  <si>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</si>
  <si>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</si>
  <si>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</si>
  <si>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</si>
  <si>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</si>
  <si>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</si>
  <si>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</si>
  <si>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</si>
  <si>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</si>
  <si>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</si>
  <si>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</si>
  <si>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</si>
  <si>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</si>
  <si>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</si>
  <si>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</si>
  <si>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</si>
  <si>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</si>
  <si>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</si>
  <si>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</si>
  <si>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</si>
  <si>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</si>
  <si>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</si>
  <si>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</si>
  <si>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</si>
  <si>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</si>
  <si>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</si>
  <si>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</si>
  <si>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</si>
  <si>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</si>
  <si>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</si>
  <si>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</si>
  <si>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</si>
  <si>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</si>
  <si>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</si>
  <si>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</si>
  <si>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</si>
  <si>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</si>
  <si>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</si>
  <si>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</si>
  <si>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</si>
  <si>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</si>
  <si>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</si>
  <si>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</si>
  <si>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</si>
  <si>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</si>
  <si>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</si>
  <si>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</si>
  <si>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</si>
  <si>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</si>
  <si>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</si>
  <si>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</si>
  <si>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</si>
  <si>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</si>
  <si>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</si>
  <si>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</si>
  <si>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</si>
  <si>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</si>
  <si>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</si>
  <si>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</si>
  <si>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</si>
  <si>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</si>
  <si>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</si>
  <si>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</si>
  <si>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</si>
  <si>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</si>
  <si>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</si>
  <si>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</si>
  <si>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</si>
  <si>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</si>
  <si>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</si>
  <si>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</si>
  <si>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</si>
  <si>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</si>
  <si>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</si>
  <si>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</si>
  <si>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</si>
  <si>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</si>
  <si>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</si>
  <si>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</si>
  <si>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</si>
  <si>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</si>
  <si>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</si>
  <si>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</si>
  <si>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</si>
  <si>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</si>
  <si>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</si>
  <si>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</si>
  <si>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</si>
  <si>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</si>
  <si>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</si>
  <si>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</si>
  <si>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</si>
  <si>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</si>
  <si>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</si>
  <si>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</si>
  <si>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</si>
  <si>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</si>
  <si>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</si>
  <si>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</si>
  <si>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</si>
  <si>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</si>
  <si>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</si>
  <si>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</si>
  <si>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</si>
  <si>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</si>
  <si>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</si>
  <si>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</si>
  <si>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</si>
  <si>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</si>
  <si>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</si>
  <si>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</si>
  <si>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</si>
  <si>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</si>
  <si>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</si>
  <si>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</si>
  <si>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</si>
  <si>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</si>
  <si>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</si>
  <si>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</si>
  <si>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</si>
  <si>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</si>
  <si>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</si>
  <si>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</si>
  <si>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</si>
  <si>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</si>
  <si>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</si>
  <si>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</si>
  <si>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</si>
  <si>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</si>
  <si>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</si>
  <si>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</si>
  <si>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</si>
  <si>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</si>
  <si>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</si>
  <si>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</si>
  <si>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</si>
  <si>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</si>
  <si>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</si>
  <si>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</si>
  <si>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</si>
  <si>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</si>
  <si>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</si>
  <si>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</si>
  <si>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</si>
  <si>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</si>
  <si>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</si>
  <si>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</si>
  <si>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</si>
  <si>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</si>
  <si>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</si>
  <si>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</si>
  <si>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</si>
  <si>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</si>
  <si>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</si>
  <si>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</si>
  <si>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</si>
  <si>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</si>
  <si>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</si>
  <si>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</si>
  <si>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</si>
  <si>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</si>
  <si>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</si>
  <si>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</si>
  <si>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</si>
  <si>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</si>
  <si>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</si>
  <si>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</si>
  <si>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</si>
  <si>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</si>
  <si>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</si>
  <si>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</si>
  <si>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</si>
  <si>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</si>
  <si>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</si>
  <si>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</si>
  <si>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</si>
  <si>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</si>
  <si>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</si>
  <si>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</si>
  <si>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</si>
  <si>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</si>
  <si>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</si>
  <si>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</si>
  <si>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</si>
  <si>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</si>
  <si>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</si>
  <si>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</si>
  <si>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</si>
  <si>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</si>
  <si>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</si>
  <si>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</si>
  <si>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</si>
  <si>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</si>
  <si>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</si>
  <si>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</si>
  <si>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</si>
  <si>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</si>
  <si>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</si>
  <si>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</si>
  <si>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</si>
  <si>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</si>
  <si>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</si>
  <si>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</si>
  <si>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</si>
  <si>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</si>
  <si>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</si>
  <si>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</si>
  <si>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</si>
  <si>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</si>
  <si>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</si>
  <si>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</si>
  <si>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</si>
  <si>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</si>
  <si>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</si>
  <si>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</si>
  <si>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</si>
  <si>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</si>
  <si>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</si>
  <si>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</si>
  <si>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</si>
  <si>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</si>
  <si>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</si>
  <si>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</si>
  <si>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</si>
  <si>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</si>
  <si>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</si>
  <si>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</si>
  <si>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</si>
  <si>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</si>
  <si>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</si>
  <si>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</si>
  <si>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</si>
  <si>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</si>
  <si>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</si>
  <si>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</si>
  <si>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</si>
  <si>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</si>
  <si>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</si>
  <si>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</si>
  <si>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</si>
  <si>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</si>
  <si>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</si>
  <si>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</si>
  <si>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</si>
  <si>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</si>
  <si>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</si>
  <si>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</si>
  <si>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</si>
  <si>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</si>
  <si>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</si>
  <si>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</si>
  <si>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</si>
  <si>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</si>
  <si>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</si>
  <si>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</si>
  <si>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</si>
  <si>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</si>
  <si>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</si>
  <si>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</si>
  <si>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</si>
  <si>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</si>
  <si>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</si>
  <si>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</si>
  <si>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</si>
  <si>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</si>
  <si>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</si>
  <si>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</si>
  <si>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</si>
  <si>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</si>
  <si>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</si>
  <si>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</si>
  <si>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</si>
  <si>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</si>
  <si>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</si>
  <si>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</si>
  <si>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</si>
  <si>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</si>
  <si>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</si>
  <si>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</si>
  <si>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</si>
  <si>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</si>
  <si>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</si>
  <si>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</si>
  <si>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</si>
  <si>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</si>
  <si>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</si>
  <si>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</si>
  <si>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</si>
  <si>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</si>
  <si>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</si>
  <si>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</si>
  <si>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</si>
  <si>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</si>
  <si>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</si>
  <si>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</si>
  <si>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</si>
  <si>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</si>
  <si>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</si>
  <si>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</si>
  <si>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</si>
  <si>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</si>
  <si>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</si>
  <si>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</si>
  <si>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</si>
  <si>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</si>
  <si>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</si>
  <si>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</si>
  <si>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</si>
  <si>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</si>
  <si>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</si>
  <si>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</si>
  <si>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</si>
  <si>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</si>
  <si>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</si>
  <si>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</si>
  <si>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</si>
  <si>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</si>
  <si>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</si>
  <si>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</si>
  <si>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</si>
  <si>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</si>
  <si>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</si>
  <si>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</si>
  <si>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</si>
  <si>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</si>
  <si>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</si>
  <si>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</si>
  <si>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</si>
  <si>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</si>
  <si>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</si>
  <si>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</si>
  <si>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</si>
  <si>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</si>
  <si>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</si>
  <si>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</si>
  <si>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</si>
  <si>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</si>
  <si>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</si>
  <si>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</si>
  <si>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</si>
  <si>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</si>
  <si>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</si>
  <si>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</si>
  <si>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</si>
  <si>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</si>
  <si>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</si>
  <si>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</si>
  <si>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</si>
  <si>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</si>
  <si>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</si>
  <si>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</si>
  <si>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</si>
  <si>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</si>
  <si>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</si>
  <si>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</si>
  <si>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</si>
  <si>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</si>
  <si>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</si>
  <si>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</si>
  <si>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</si>
  <si>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</si>
  <si>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</si>
  <si>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</si>
  <si>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</si>
  <si>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</si>
  <si>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</si>
  <si>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</si>
  <si>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</si>
  <si>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</si>
  <si>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</si>
  <si>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</si>
  <si>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</si>
  <si>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</si>
  <si>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</si>
  <si>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</si>
  <si>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</si>
  <si>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</si>
  <si>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</si>
  <si>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</si>
  <si>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</si>
  <si>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</si>
  <si>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</si>
  <si>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</si>
  <si>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</si>
  <si>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</si>
  <si>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</si>
  <si>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</si>
  <si>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</si>
  <si>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</si>
  <si>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</si>
  <si>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</si>
  <si>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</si>
  <si>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</si>
  <si>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</si>
  <si>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</si>
  <si>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</si>
  <si>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</si>
  <si>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</si>
  <si>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</si>
  <si>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</si>
  <si>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</si>
  <si>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</si>
  <si>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</si>
  <si>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</si>
  <si>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</si>
  <si>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</si>
  <si>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</si>
  <si>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</si>
  <si>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</si>
  <si>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</si>
  <si>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</si>
  <si>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</si>
  <si>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</si>
  <si>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</si>
  <si>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</si>
  <si>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</si>
  <si>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</si>
  <si>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</si>
  <si>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</si>
  <si>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</si>
  <si>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</si>
  <si>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</si>
  <si>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</si>
  <si>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</si>
  <si>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</si>
  <si>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</si>
  <si>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</si>
  <si>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</si>
  <si>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</si>
  <si>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</si>
  <si>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</si>
  <si>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</si>
  <si>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</si>
  <si>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</si>
  <si>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</si>
  <si>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</si>
  <si>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</si>
  <si>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</si>
  <si>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</si>
  <si>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</si>
  <si>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</si>
  <si>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</si>
  <si>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</si>
  <si>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</si>
  <si>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</si>
  <si>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</si>
  <si>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</si>
  <si>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</si>
  <si>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</si>
  <si>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</si>
  <si>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</si>
  <si>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</si>
  <si>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</si>
  <si>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</si>
  <si>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</si>
  <si>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</si>
  <si>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</si>
  <si>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</si>
  <si>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</si>
  <si>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</si>
  <si>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</si>
  <si>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</si>
  <si>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</si>
  <si>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</si>
  <si>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</si>
  <si>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</si>
  <si>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</si>
  <si>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</si>
  <si>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</si>
  <si>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</si>
  <si>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</si>
  <si>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</si>
  <si>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</si>
  <si>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</si>
  <si>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</si>
  <si>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</si>
  <si>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</si>
  <si>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</si>
  <si>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</si>
  <si>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</si>
  <si>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</si>
  <si>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</si>
  <si>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</si>
  <si>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</si>
  <si>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</si>
  <si>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</si>
  <si>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</si>
  <si>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</si>
  <si>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</si>
  <si>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</si>
  <si>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</si>
  <si>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</si>
  <si>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</si>
  <si>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</si>
  <si>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</si>
  <si>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</si>
  <si>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</si>
  <si>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</si>
  <si>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</si>
  <si>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</si>
  <si>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</si>
  <si>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</si>
  <si>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</si>
  <si>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</si>
  <si>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</si>
  <si>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</si>
  <si>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</si>
  <si>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</si>
  <si>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</si>
  <si>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</si>
  <si>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</si>
  <si>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</si>
  <si>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</si>
  <si>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</si>
  <si>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</si>
  <si>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</si>
  <si>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</si>
  <si>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</si>
  <si>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</si>
  <si>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</si>
  <si>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</si>
  <si>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</si>
  <si>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</si>
  <si>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</si>
  <si>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</si>
  <si>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</si>
  <si>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</si>
  <si>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</si>
  <si>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</si>
  <si>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</si>
  <si>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</si>
  <si>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</si>
  <si>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</si>
  <si>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</si>
  <si>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</si>
  <si>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</si>
  <si>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</si>
  <si>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</si>
  <si>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</si>
  <si>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</si>
  <si>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</si>
  <si>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</si>
  <si>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</si>
  <si>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</si>
  <si>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</si>
  <si>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</si>
  <si>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</si>
  <si>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</si>
  <si>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</si>
  <si>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</si>
  <si>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</si>
  <si>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</si>
  <si>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</si>
  <si>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</si>
  <si>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</si>
  <si>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</si>
  <si>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</si>
  <si>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</si>
  <si>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</si>
  <si>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</si>
  <si>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</si>
  <si>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</si>
  <si>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</si>
  <si>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</si>
  <si>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</si>
  <si>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</si>
  <si>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</si>
  <si>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</si>
  <si>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</si>
  <si>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</si>
  <si>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</si>
  <si>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</si>
  <si>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</si>
  <si>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</si>
  <si>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</si>
  <si>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</si>
  <si>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</si>
  <si>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</si>
  <si>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</si>
  <si>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</si>
  <si>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</si>
  <si>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</si>
  <si>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</si>
  <si>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</si>
  <si>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</si>
  <si>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</si>
  <si>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</si>
  <si>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</si>
  <si>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</si>
  <si>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</si>
  <si>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</si>
  <si>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</si>
  <si>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</si>
  <si>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</si>
  <si>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</si>
  <si>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</si>
  <si>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</si>
  <si>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</si>
  <si>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</si>
  <si>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</si>
  <si>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</si>
  <si>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</si>
  <si>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</si>
  <si>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</si>
  <si>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</si>
  <si>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</si>
  <si>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</si>
  <si>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</si>
  <si>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</si>
  <si>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</si>
  <si>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</si>
  <si>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</si>
  <si>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</si>
  <si>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</si>
  <si>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</si>
  <si>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</si>
  <si>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</si>
  <si>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</si>
  <si>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</si>
  <si>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</si>
  <si>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</si>
  <si>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</si>
  <si>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</si>
  <si>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</si>
  <si>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</si>
  <si>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</si>
  <si>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</si>
  <si>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</si>
  <si>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</si>
  <si>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</si>
  <si>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</si>
  <si>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</si>
  <si>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</si>
  <si>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</si>
  <si>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</si>
  <si>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</si>
  <si>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</si>
  <si>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</si>
  <si>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</si>
  <si>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</si>
  <si>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</si>
  <si>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</si>
  <si>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</si>
  <si>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</si>
  <si>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</si>
  <si>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</si>
  <si>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</si>
  <si>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</si>
  <si>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</si>
  <si>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</si>
  <si>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</si>
  <si>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</si>
  <si>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</si>
  <si>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</si>
  <si>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</si>
  <si>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</si>
  <si>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</si>
  <si>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</si>
  <si>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</si>
  <si>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</si>
  <si>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</si>
  <si>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</si>
  <si>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</si>
  <si>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</si>
  <si>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</si>
  <si>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</si>
  <si>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</si>
  <si>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</si>
  <si>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</si>
  <si>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</si>
  <si>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</si>
  <si>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</si>
  <si>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</si>
  <si>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</si>
  <si>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</si>
  <si>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</si>
  <si>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</si>
  <si>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</si>
  <si>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</si>
  <si>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</si>
  <si>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</si>
  <si>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</si>
  <si>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</si>
  <si>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</si>
  <si>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</si>
  <si>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</si>
  <si>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</si>
  <si>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</si>
  <si>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</si>
  <si>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</si>
  <si>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</si>
  <si>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</si>
  <si>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</si>
  <si>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</si>
  <si>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</si>
  <si>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</si>
  <si>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</si>
  <si>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</si>
  <si>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</si>
  <si>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</si>
  <si>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</si>
  <si>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</si>
  <si>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</si>
  <si>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</si>
  <si>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</si>
  <si>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</si>
  <si>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</si>
  <si>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</si>
  <si>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</si>
  <si>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</si>
  <si>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</si>
  <si>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</si>
  <si>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</si>
  <si>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</si>
  <si>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</si>
  <si>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</si>
  <si>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</si>
  <si>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</si>
  <si>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</si>
  <si>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</si>
  <si>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</si>
  <si>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</si>
  <si>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</si>
  <si>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</si>
  <si>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</si>
  <si>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</si>
  <si>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</si>
  <si>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</si>
  <si>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</si>
  <si>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</si>
  <si>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</si>
  <si>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</si>
  <si>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</si>
  <si>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</si>
  <si>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</si>
  <si>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</si>
  <si>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</si>
  <si>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</si>
  <si>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</si>
  <si>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</si>
  <si>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</si>
  <si>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</si>
  <si>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</si>
  <si>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</si>
  <si>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</si>
  <si>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</si>
  <si>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</si>
  <si>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</si>
  <si>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</si>
  <si>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</si>
  <si>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</si>
  <si>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</si>
  <si>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</si>
  <si>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</si>
  <si>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</si>
  <si>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</si>
  <si>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</si>
  <si>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</si>
  <si>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</si>
  <si>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</si>
  <si>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</si>
  <si>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</si>
  <si>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</si>
  <si>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</si>
  <si>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</si>
  <si>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</si>
  <si>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</si>
  <si>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</si>
  <si>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</si>
  <si>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</si>
  <si>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</si>
  <si>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</si>
  <si>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</si>
  <si>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</si>
  <si>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</si>
  <si>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</si>
  <si>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</si>
  <si>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</si>
  <si>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</si>
  <si>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</si>
  <si>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</si>
  <si>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</si>
  <si>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</si>
  <si>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</si>
  <si>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</si>
  <si>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</si>
  <si>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</si>
  <si>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</si>
  <si>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</si>
  <si>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</si>
  <si>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</si>
  <si>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</si>
  <si>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</si>
  <si>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</si>
  <si>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</si>
  <si>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</si>
  <si>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</si>
  <si>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</si>
  <si>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</si>
  <si>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</si>
  <si>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</si>
  <si>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</si>
  <si>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</si>
  <si>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</si>
  <si>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</si>
  <si>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</si>
  <si>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</si>
  <si>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</si>
  <si>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</si>
  <si>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</si>
  <si>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</si>
  <si>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</si>
  <si>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</si>
  <si>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</si>
  <si>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</si>
  <si>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</si>
  <si>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</si>
  <si>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</si>
  <si>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</si>
  <si>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</si>
  <si>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</si>
  <si>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</si>
  <si>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</si>
  <si>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</si>
  <si>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</si>
  <si>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</si>
  <si>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</si>
  <si>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</si>
  <si>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</si>
  <si>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</si>
  <si>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</si>
  <si>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</si>
  <si>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</si>
  <si>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</si>
  <si>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</si>
  <si>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</si>
  <si>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</si>
  <si>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</si>
  <si>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</si>
  <si>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</si>
  <si>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</si>
  <si>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</si>
  <si>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</si>
  <si>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</si>
  <si>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</si>
  <si>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</si>
  <si>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</si>
  <si>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</si>
  <si>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</si>
  <si>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</si>
  <si>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</si>
  <si>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</si>
  <si>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</si>
  <si>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</si>
  <si>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</si>
  <si>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</si>
  <si>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</si>
  <si>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</si>
  <si>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</si>
  <si>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</si>
  <si>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</si>
  <si>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</si>
  <si>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</si>
  <si>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</si>
  <si>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</si>
  <si>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</si>
  <si>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</si>
  <si>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</si>
  <si>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</si>
  <si>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</si>
  <si>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</si>
  <si>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</si>
  <si>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</si>
  <si>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</si>
  <si>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</si>
  <si>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</si>
  <si>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</si>
  <si>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</si>
  <si>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</si>
  <si>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</si>
  <si>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</si>
  <si>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</si>
  <si>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</si>
  <si>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</si>
  <si>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</si>
  <si>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</si>
  <si>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</si>
  <si>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</si>
  <si>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</si>
  <si>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</si>
  <si>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</si>
  <si>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</si>
  <si>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</si>
  <si>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</si>
  <si>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</si>
  <si>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</si>
  <si>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</si>
  <si>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</si>
  <si>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</si>
  <si>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</si>
  <si>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</si>
  <si>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</si>
  <si>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</si>
  <si>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</si>
  <si>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</si>
  <si>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</si>
  <si>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</si>
  <si>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</si>
  <si>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</si>
  <si>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</si>
  <si>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</si>
  <si>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</si>
  <si>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</si>
  <si>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</si>
  <si>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</si>
  <si>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</si>
  <si>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</si>
  <si>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</si>
  <si>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</si>
  <si>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</si>
  <si>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</si>
  <si>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</si>
  <si>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</si>
  <si>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</si>
  <si>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</si>
  <si>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</si>
  <si>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</si>
  <si>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</si>
  <si>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</si>
  <si>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</si>
  <si>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</si>
  <si>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</si>
  <si>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</si>
  <si>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</si>
  <si>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</si>
  <si>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</si>
  <si>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</si>
  <si>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</si>
  <si>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</si>
  <si>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</si>
  <si>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</si>
  <si>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</si>
  <si>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</si>
  <si>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</si>
  <si>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</si>
  <si>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</si>
  <si>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</si>
  <si>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</si>
  <si>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</si>
  <si>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</si>
  <si>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</si>
  <si>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</si>
  <si>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</si>
  <si>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</si>
  <si>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</si>
  <si>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</si>
  <si>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</si>
  <si>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</si>
  <si>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</si>
  <si>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</si>
  <si>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</si>
  <si>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</si>
  <si>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</si>
  <si>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</si>
  <si>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</si>
  <si>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</si>
  <si>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</si>
  <si>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</si>
  <si>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</si>
  <si>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</si>
  <si>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</si>
  <si>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</si>
  <si>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</si>
  <si>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</si>
  <si>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</si>
  <si>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</si>
  <si>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</si>
  <si>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</si>
  <si>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</si>
  <si>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</si>
  <si>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</si>
  <si>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</si>
  <si>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</si>
  <si>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</si>
  <si>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</si>
  <si>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</si>
  <si>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</si>
  <si>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</si>
  <si>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</si>
  <si>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</si>
  <si>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</si>
  <si>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</si>
  <si>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</si>
  <si>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</si>
  <si>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</si>
  <si>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</si>
  <si>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</si>
  <si>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</si>
  <si>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</si>
  <si>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</si>
  <si>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</si>
  <si>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</si>
  <si>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</si>
  <si>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</si>
  <si>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</si>
  <si>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</si>
  <si>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</si>
  <si>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</si>
  <si>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</si>
  <si>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</si>
  <si>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</si>
  <si>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</si>
  <si>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</si>
  <si>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</si>
  <si>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</si>
  <si>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</si>
  <si>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</si>
  <si>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</si>
  <si>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</si>
  <si>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</si>
  <si>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</si>
  <si>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</si>
  <si>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</si>
  <si>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</si>
  <si>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</si>
  <si>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</si>
  <si>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</si>
  <si>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</si>
  <si>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</si>
  <si>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</si>
  <si>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</si>
  <si>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</si>
  <si>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</si>
  <si>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</si>
  <si>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</si>
  <si>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</si>
  <si>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</si>
  <si>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</si>
  <si>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</si>
  <si>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</si>
  <si>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</si>
  <si>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</si>
  <si>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</si>
  <si>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</si>
  <si>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</si>
  <si>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</si>
  <si>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</si>
  <si>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</si>
  <si>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</si>
  <si>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</si>
  <si>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</si>
  <si>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</si>
  <si>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</si>
  <si>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</si>
  <si>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</si>
  <si>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</si>
  <si>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</si>
  <si>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</si>
  <si>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</si>
  <si>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</si>
  <si>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</si>
  <si>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</si>
  <si>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</si>
  <si>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</si>
  <si>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</si>
  <si>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</si>
  <si>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</si>
  <si>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</si>
  <si>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</si>
  <si>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</si>
  <si>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</si>
  <si>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</si>
  <si>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</si>
  <si>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</si>
  <si>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</si>
  <si>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</si>
  <si>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</si>
  <si>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</si>
  <si>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</si>
  <si>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</si>
  <si>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</si>
  <si>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</si>
  <si>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</si>
  <si>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</si>
  <si>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</si>
  <si>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</si>
  <si>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</si>
  <si>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</si>
  <si>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</si>
  <si>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</si>
  <si>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</si>
  <si>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</si>
  <si>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</si>
  <si>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</si>
  <si>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</si>
  <si>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</si>
  <si>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</si>
  <si>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</si>
  <si>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</si>
  <si>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</si>
  <si>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</si>
  <si>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</si>
  <si>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</si>
  <si>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</si>
  <si>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</si>
  <si>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</si>
  <si>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</si>
  <si>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</si>
  <si>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</si>
  <si>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</si>
  <si>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</si>
  <si>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</si>
  <si>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</si>
  <si>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</si>
  <si>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</si>
  <si>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</si>
  <si>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</si>
  <si>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</si>
  <si>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</si>
  <si>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</si>
  <si>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</si>
  <si>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</si>
  <si>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</si>
  <si>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</si>
  <si>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</si>
  <si>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</si>
  <si>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</si>
  <si>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</si>
  <si>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</si>
  <si>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</si>
  <si>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</si>
  <si>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</si>
  <si>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</si>
  <si>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</si>
  <si>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</si>
  <si>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</si>
  <si>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</si>
  <si>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</si>
  <si>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</si>
  <si>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</si>
  <si>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</si>
  <si>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</si>
  <si>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</si>
  <si>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</si>
  <si>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</si>
  <si>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</si>
  <si>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</si>
  <si>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</si>
  <si>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</si>
  <si>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</si>
  <si>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</si>
  <si>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</si>
  <si>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</si>
  <si>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</si>
  <si>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</si>
  <si>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</si>
  <si>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</si>
  <si>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</si>
  <si>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</si>
  <si>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</si>
  <si>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</si>
  <si>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</si>
  <si>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</si>
  <si>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</si>
  <si>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</si>
  <si>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</si>
  <si>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</si>
  <si>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</si>
  <si>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</si>
  <si>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</si>
  <si>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</si>
  <si>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</si>
  <si>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</si>
  <si>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</si>
  <si>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</si>
  <si>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</si>
  <si>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</si>
  <si>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</si>
  <si>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</si>
  <si>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</si>
  <si>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</si>
  <si>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</si>
  <si>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</si>
  <si>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</si>
  <si>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</si>
  <si>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</si>
  <si>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</si>
  <si>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</si>
  <si>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</si>
  <si>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</si>
  <si>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</si>
  <si>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</si>
  <si>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</si>
  <si>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</si>
  <si>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</si>
  <si>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</si>
  <si>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</si>
  <si>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</si>
  <si>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</si>
  <si>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</si>
  <si>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</si>
  <si>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</si>
  <si>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</si>
  <si>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</si>
  <si>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</si>
  <si>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</si>
  <si>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</si>
  <si>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</si>
  <si>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</si>
  <si>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</si>
  <si>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</si>
  <si>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</si>
  <si>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</si>
  <si>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</si>
  <si>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</si>
  <si>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</si>
  <si>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</si>
  <si>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</si>
  <si>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</si>
  <si>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</si>
  <si>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</si>
  <si>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</si>
  <si>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</si>
  <si>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</si>
  <si>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</si>
  <si>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</si>
  <si>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</si>
  <si>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</si>
  <si>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</si>
  <si>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</si>
  <si>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</si>
  <si>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</si>
  <si>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</si>
  <si>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</si>
  <si>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</si>
  <si>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</si>
  <si>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</si>
  <si>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</si>
  <si>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</si>
  <si>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</si>
  <si>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</si>
  <si>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</si>
  <si>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</si>
  <si>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</si>
  <si>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</si>
  <si>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</si>
  <si>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</si>
  <si>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</si>
  <si>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</si>
  <si>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</si>
  <si>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</si>
  <si>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</si>
  <si>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</si>
  <si>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</si>
  <si>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</si>
  <si>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</si>
  <si>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</si>
  <si>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</si>
  <si>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</si>
  <si>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</si>
  <si>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</si>
  <si>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</si>
  <si>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</si>
  <si>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</si>
  <si>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</si>
  <si>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</si>
  <si>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</si>
  <si>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</si>
  <si>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</si>
  <si>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</si>
  <si>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</si>
  <si>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</si>
  <si>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</si>
  <si>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</si>
  <si>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</si>
  <si>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</si>
  <si>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</si>
  <si>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</si>
  <si>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</si>
  <si>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</si>
  <si>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</si>
  <si>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</si>
  <si>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</si>
  <si>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</si>
  <si>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</si>
  <si>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</si>
  <si>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</si>
  <si>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</si>
  <si>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</si>
  <si>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</si>
  <si>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</si>
  <si>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</si>
  <si>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</si>
  <si>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</si>
  <si>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</si>
  <si>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</si>
  <si>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</si>
  <si>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</si>
  <si>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</si>
  <si>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</si>
  <si>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</si>
  <si>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</si>
  <si>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</si>
  <si>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</si>
  <si>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</si>
  <si>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</si>
  <si>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</si>
  <si>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</si>
  <si>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</si>
  <si>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</si>
  <si>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</si>
  <si>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</si>
  <si>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</si>
  <si>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</si>
  <si>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</si>
  <si>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</si>
  <si>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</si>
  <si>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</si>
  <si>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</si>
  <si>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</si>
  <si>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</si>
  <si>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</si>
  <si>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</si>
  <si>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</si>
  <si>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</si>
  <si>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</si>
  <si>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</si>
  <si>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</si>
  <si>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</si>
  <si>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</si>
  <si>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</si>
  <si>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</si>
  <si>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</si>
  <si>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</si>
  <si>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</si>
  <si>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</si>
  <si>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</si>
  <si>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</si>
  <si>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</si>
  <si>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</si>
  <si>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</si>
  <si>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</si>
  <si>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</si>
  <si>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</si>
  <si>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</si>
  <si>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</si>
  <si>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</si>
  <si>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</si>
  <si>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</si>
  <si>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</si>
  <si>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</si>
  <si>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</si>
  <si>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</si>
  <si>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</si>
  <si>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</si>
  <si>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</si>
  <si>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</si>
  <si>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</si>
  <si>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</si>
  <si>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</si>
  <si>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</si>
  <si>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</si>
  <si>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</si>
  <si>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</si>
  <si>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</si>
  <si>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</si>
  <si>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</si>
  <si>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</si>
  <si>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</si>
  <si>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</si>
  <si>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</si>
  <si>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</si>
  <si>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</si>
  <si>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</si>
  <si>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</si>
  <si>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</si>
  <si>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</si>
  <si>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</si>
  <si>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</si>
  <si>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</si>
  <si>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</si>
  <si>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</si>
  <si>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</si>
  <si>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</si>
  <si>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</si>
  <si>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</si>
  <si>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</si>
  <si>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</si>
  <si>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</si>
  <si>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</si>
  <si>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</si>
  <si>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</si>
  <si>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</si>
  <si>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</si>
  <si>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</si>
  <si>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</si>
  <si>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</si>
  <si>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</si>
  <si>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</si>
  <si>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</si>
  <si>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</si>
  <si>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</si>
  <si>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</si>
  <si>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</si>
  <si>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</si>
  <si>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</si>
  <si>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</si>
  <si>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</si>
  <si>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</si>
  <si>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</si>
  <si>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</si>
  <si>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</si>
  <si>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</si>
  <si>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</si>
  <si>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</si>
  <si>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</si>
  <si>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</si>
  <si>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</si>
  <si>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</si>
  <si>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</si>
  <si>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</si>
  <si>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</si>
  <si>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</si>
  <si>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</si>
  <si>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</si>
  <si>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</si>
  <si>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</si>
  <si>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</si>
  <si>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</si>
  <si>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</si>
  <si>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</si>
  <si>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</si>
  <si>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</si>
  <si>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</si>
  <si>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</si>
  <si>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</si>
  <si>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</si>
  <si>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</si>
  <si>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</si>
  <si>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</si>
  <si>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</si>
  <si>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</si>
  <si>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</si>
  <si>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</si>
  <si>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</si>
  <si>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</si>
  <si>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</si>
  <si>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</si>
  <si>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</si>
  <si>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</si>
  <si>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</si>
  <si>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</si>
  <si>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</si>
  <si>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</si>
  <si>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</si>
  <si>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</si>
  <si>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</si>
  <si>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</si>
  <si>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</si>
  <si>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</si>
  <si>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</si>
  <si>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</si>
  <si>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</si>
  <si>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</si>
  <si>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</si>
  <si>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</si>
  <si>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</si>
  <si>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</si>
  <si>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</si>
  <si>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</si>
  <si>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</si>
  <si>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</si>
  <si>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</si>
  <si>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</si>
  <si>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</si>
  <si>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</si>
  <si>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</si>
  <si>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</si>
  <si>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</si>
  <si>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</si>
  <si>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</si>
  <si>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</si>
  <si>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</si>
  <si>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</si>
  <si>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</si>
  <si>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</si>
  <si>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</si>
  <si>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</si>
  <si>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</si>
  <si>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</si>
  <si>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</si>
  <si>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</si>
  <si>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</si>
  <si>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</si>
  <si>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</si>
  <si>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</si>
  <si>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</si>
  <si>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</si>
  <si>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</si>
  <si>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</si>
  <si>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</si>
  <si>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</si>
  <si>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</si>
  <si>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</si>
  <si>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</si>
  <si>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</si>
  <si>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</si>
  <si>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</si>
  <si>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</si>
  <si>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</si>
  <si>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</si>
  <si>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</si>
  <si>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</si>
  <si>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</si>
  <si>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</si>
  <si>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</si>
  <si>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</si>
  <si>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</si>
  <si>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</si>
  <si>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</si>
  <si>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</si>
  <si>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</si>
  <si>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</si>
  <si>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</si>
  <si>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</si>
  <si>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</si>
  <si>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</si>
  <si>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</si>
  <si>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</si>
  <si>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</si>
  <si>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</si>
  <si>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</si>
  <si>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</si>
  <si>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</si>
  <si>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</si>
  <si>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</si>
  <si>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</si>
  <si>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</si>
  <si>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</si>
  <si>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</si>
  <si>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</si>
  <si>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</si>
  <si>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</si>
  <si>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</si>
  <si>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</si>
  <si>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</si>
  <si>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</si>
  <si>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</si>
  <si>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</si>
  <si>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</si>
  <si>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</si>
  <si>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</si>
  <si>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</si>
  <si>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</si>
  <si>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</si>
  <si>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</si>
  <si>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</si>
  <si>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</si>
  <si>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</si>
  <si>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</si>
  <si>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</si>
  <si>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</si>
  <si>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</si>
  <si>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</si>
  <si>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</si>
  <si>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</si>
  <si>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</si>
  <si>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</si>
  <si>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</si>
  <si>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</si>
  <si>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</si>
  <si>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</si>
  <si>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</si>
  <si>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</si>
  <si>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</si>
  <si>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</si>
  <si>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</si>
  <si>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</si>
  <si>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</si>
  <si>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</si>
  <si>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</si>
  <si>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</si>
  <si>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</si>
  <si>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</si>
  <si>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</si>
  <si>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</si>
  <si>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</si>
  <si>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</si>
  <si>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</si>
  <si>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</si>
  <si>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</si>
  <si>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</si>
  <si>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</si>
  <si>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</si>
  <si>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</si>
  <si>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</si>
  <si>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</si>
  <si>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</si>
  <si>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</si>
  <si>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</si>
  <si>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</si>
  <si>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</si>
  <si>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</si>
  <si>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</si>
  <si>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</si>
  <si>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</si>
  <si>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</si>
  <si>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</si>
  <si>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</si>
  <si>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</si>
  <si>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</si>
  <si>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</si>
  <si>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</si>
  <si>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</si>
  <si>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</si>
  <si>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</si>
  <si>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</si>
  <si>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</si>
  <si>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</si>
  <si>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</si>
  <si>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</si>
  <si>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</si>
  <si>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</si>
  <si>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</si>
  <si>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</si>
  <si>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</si>
  <si>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</si>
  <si>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</si>
  <si>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</si>
  <si>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</si>
  <si>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</si>
  <si>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</si>
  <si>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</si>
  <si>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</si>
  <si>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</si>
  <si>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</si>
  <si>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</si>
  <si>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</si>
  <si>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</si>
  <si>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</si>
  <si>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</si>
  <si>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</si>
  <si>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</si>
  <si>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</si>
  <si>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</si>
  <si>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</si>
  <si>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</si>
  <si>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</si>
  <si>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</si>
  <si>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</si>
  <si>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</si>
  <si>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</si>
  <si>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</si>
  <si>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</si>
  <si>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</si>
  <si>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</si>
  <si>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</si>
  <si>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</si>
  <si>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</si>
  <si>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</si>
  <si>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</si>
  <si>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</si>
  <si>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</si>
  <si>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</si>
  <si>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</si>
  <si>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</si>
  <si>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</si>
  <si>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</si>
  <si>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</si>
  <si>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</si>
  <si>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</si>
  <si>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</si>
  <si>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</si>
  <si>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</si>
  <si>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</si>
  <si>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</si>
  <si>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</si>
  <si>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</si>
  <si>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</si>
  <si>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</si>
  <si>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</si>
  <si>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</si>
  <si>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</si>
  <si>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</si>
  <si>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</si>
  <si>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</si>
  <si>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</si>
  <si>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</si>
  <si>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</si>
  <si>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</si>
  <si>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</si>
  <si>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</si>
  <si>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</si>
  <si>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</si>
  <si>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</si>
  <si>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</si>
  <si>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</si>
  <si>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</si>
  <si>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</si>
  <si>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</si>
  <si>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</si>
  <si>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</si>
  <si>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</si>
  <si>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</si>
  <si>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</si>
  <si>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</si>
  <si>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</si>
  <si>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</si>
  <si>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</si>
  <si>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</si>
  <si>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</si>
  <si>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</si>
  <si>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</si>
  <si>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</si>
  <si>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</si>
  <si>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</si>
  <si>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</si>
  <si>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</si>
  <si>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</si>
  <si>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</si>
  <si>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</si>
  <si>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</si>
  <si>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</si>
  <si>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</si>
  <si>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</si>
  <si>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</si>
  <si>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</si>
  <si>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</si>
  <si>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</si>
  <si>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</si>
  <si>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</si>
  <si>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</si>
  <si>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</si>
  <si>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</si>
  <si>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</si>
  <si>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</si>
  <si>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</si>
  <si>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</si>
  <si>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</si>
  <si>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</si>
  <si>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</si>
  <si>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</si>
  <si>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</si>
  <si>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</si>
  <si>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</si>
  <si>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</si>
  <si>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</si>
  <si>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</si>
  <si>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</si>
  <si>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</si>
  <si>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</si>
  <si>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</si>
  <si>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</si>
  <si>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</si>
  <si>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</si>
  <si>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</si>
  <si>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</si>
  <si>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</si>
  <si>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</si>
  <si>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</si>
  <si>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</si>
  <si>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</si>
  <si>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</si>
  <si>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</si>
  <si>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</si>
  <si>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</si>
  <si>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</si>
  <si>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</si>
  <si>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</si>
  <si>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</si>
  <si>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</si>
  <si>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</si>
  <si>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</si>
  <si>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</si>
  <si>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</si>
  <si>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</si>
  <si>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</si>
  <si>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</si>
  <si>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</si>
  <si>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</si>
  <si>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</si>
  <si>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</si>
  <si>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</si>
  <si>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</si>
  <si>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</si>
  <si>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</si>
  <si>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</si>
  <si>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</si>
  <si>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</si>
  <si>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</si>
  <si>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</si>
  <si>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</si>
  <si>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</si>
  <si>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</si>
  <si>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</si>
  <si>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</si>
  <si>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</si>
  <si>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</si>
  <si>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</si>
  <si>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</si>
  <si>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</si>
  <si>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</si>
  <si>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</si>
  <si>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</si>
  <si>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</si>
  <si>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</si>
  <si>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</si>
  <si>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</si>
  <si>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</si>
  <si>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</si>
  <si>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</si>
  <si>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</si>
  <si>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</si>
  <si>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</si>
  <si>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</si>
  <si>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</si>
  <si>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</si>
  <si>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</si>
  <si>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</si>
  <si>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</si>
  <si>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</si>
  <si>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</si>
  <si>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</si>
  <si>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</si>
  <si>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</si>
  <si>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</si>
  <si>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</si>
  <si>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</si>
  <si>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</si>
  <si>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</si>
  <si>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</si>
  <si>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</si>
  <si>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</si>
  <si>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</si>
  <si>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</si>
  <si>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</si>
  <si>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</si>
  <si>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</si>
  <si>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</si>
  <si>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</si>
  <si>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</si>
  <si>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</si>
  <si>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</si>
  <si>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</si>
  <si>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</si>
  <si>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</si>
  <si>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</si>
  <si>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</si>
  <si>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</si>
  <si>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</si>
  <si>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</si>
  <si>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</si>
  <si>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</si>
  <si>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</si>
  <si>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</si>
  <si>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</si>
  <si>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</si>
  <si>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</si>
  <si>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</si>
  <si>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</si>
  <si>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</si>
  <si>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</si>
  <si>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</si>
  <si>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</si>
  <si>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</si>
  <si>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</si>
  <si>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</si>
  <si>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</si>
  <si>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</si>
  <si>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</si>
  <si>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</si>
  <si>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</si>
  <si>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</si>
  <si>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</si>
  <si>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</si>
  <si>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</si>
  <si>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</si>
  <si>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</si>
  <si>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</si>
  <si>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</si>
  <si>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</si>
  <si>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</si>
  <si>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</si>
  <si>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</si>
  <si>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</si>
  <si>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</si>
  <si>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</si>
  <si>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</si>
  <si>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</si>
  <si>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</si>
  <si>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</si>
  <si>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</si>
  <si>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</si>
  <si>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</si>
  <si>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</si>
  <si>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</si>
  <si>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</si>
  <si>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</si>
  <si>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</si>
  <si>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</si>
  <si>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</si>
  <si>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</si>
  <si>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</si>
  <si>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</si>
  <si>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</si>
  <si>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</si>
  <si>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</si>
  <si>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</si>
  <si>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</si>
  <si>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</si>
  <si>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</si>
  <si>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</si>
  <si>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</si>
  <si>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</si>
  <si>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</si>
  <si>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</si>
  <si>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</si>
  <si>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</si>
  <si>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</si>
  <si>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</si>
  <si>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</si>
  <si>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</si>
  <si>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</si>
  <si>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</si>
  <si>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</si>
  <si>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</si>
  <si>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</si>
  <si>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</si>
  <si>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</si>
  <si>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</si>
  <si>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</si>
  <si>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</si>
  <si>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</si>
  <si>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</si>
  <si>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</si>
  <si>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</si>
  <si>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</si>
  <si>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</si>
  <si>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</si>
  <si>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</si>
  <si>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</si>
  <si>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</si>
  <si>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</si>
  <si>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</si>
  <si>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</si>
  <si>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</si>
  <si>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</si>
  <si>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</si>
  <si>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</si>
  <si>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</si>
  <si>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</si>
  <si>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</si>
  <si>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</si>
  <si>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</si>
  <si>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</si>
  <si>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</si>
  <si>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</si>
  <si>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</si>
  <si>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</si>
  <si>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</si>
  <si>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</si>
  <si>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</si>
  <si>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</si>
  <si>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</si>
  <si>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</si>
  <si>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</si>
  <si>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</si>
  <si>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</si>
  <si>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</si>
  <si>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</si>
  <si>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</si>
  <si>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</si>
  <si>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</si>
  <si>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</si>
  <si>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</si>
  <si>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</si>
  <si>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</si>
  <si>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</si>
  <si>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</si>
  <si>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</si>
  <si>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</si>
  <si>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</si>
  <si>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</si>
  <si>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</si>
  <si>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</si>
  <si>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</si>
  <si>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</si>
  <si>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</si>
  <si>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</si>
  <si>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</si>
  <si>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</si>
  <si>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</si>
  <si>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</si>
  <si>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</si>
  <si>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</si>
  <si>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</si>
  <si>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</si>
  <si>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</si>
  <si>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</si>
  <si>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</si>
  <si>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</si>
  <si>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</si>
  <si>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</si>
  <si>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</si>
  <si>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</si>
  <si>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</si>
  <si>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</si>
  <si>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</si>
  <si>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</si>
  <si>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</si>
  <si>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</si>
  <si>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</si>
  <si>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</si>
  <si>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</si>
  <si>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</si>
  <si>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</si>
  <si>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</si>
  <si>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</si>
  <si>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</si>
  <si>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</si>
  <si>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</si>
  <si>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</si>
  <si>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</si>
  <si>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</si>
  <si>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</si>
  <si>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</si>
  <si>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</si>
  <si>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</si>
  <si>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</si>
  <si>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</si>
  <si>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</si>
  <si>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</si>
  <si>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</si>
  <si>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</si>
  <si>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</si>
  <si>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</si>
  <si>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</si>
  <si>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</si>
  <si>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</si>
  <si>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</si>
  <si>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</si>
  <si>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</si>
  <si>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</si>
  <si>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</si>
  <si>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</si>
  <si>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</si>
  <si>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</si>
  <si>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</si>
  <si>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</si>
  <si>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</si>
  <si>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</si>
  <si>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</si>
  <si>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</si>
  <si>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</si>
  <si>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</si>
  <si>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</si>
  <si>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</si>
  <si>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</si>
  <si>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</si>
  <si>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</si>
  <si>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</si>
  <si>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</si>
  <si>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</si>
  <si>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</si>
  <si>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</si>
  <si>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</si>
  <si>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</si>
  <si>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</si>
  <si>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</si>
  <si>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</si>
  <si>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</si>
  <si>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</si>
  <si>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</si>
  <si>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</si>
  <si>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</si>
  <si>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</si>
  <si>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</si>
  <si>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</si>
  <si>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</si>
  <si>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</si>
  <si>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</si>
  <si>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</si>
  <si>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</si>
  <si>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</si>
  <si>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</si>
  <si>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</si>
  <si>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</si>
  <si>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</si>
  <si>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</si>
  <si>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</si>
  <si>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</si>
  <si>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</si>
  <si>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</si>
  <si>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</si>
  <si>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</si>
  <si>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</si>
  <si>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</si>
  <si>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</si>
  <si>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</si>
  <si>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</si>
  <si>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</si>
  <si>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</si>
  <si>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</si>
  <si>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</si>
  <si>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</si>
  <si>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</si>
  <si>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</si>
  <si>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</si>
  <si>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</si>
  <si>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</si>
  <si>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</si>
  <si>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</si>
  <si>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</si>
  <si>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</si>
  <si>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</si>
  <si>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</si>
  <si>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</si>
  <si>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</si>
  <si>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</si>
  <si>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</si>
  <si>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</si>
  <si>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</si>
  <si>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</si>
  <si>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</si>
  <si>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</si>
  <si>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</si>
  <si>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</si>
  <si>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</si>
  <si>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</si>
  <si>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</si>
  <si>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</si>
  <si>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</si>
  <si>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</si>
  <si>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</si>
  <si>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</si>
  <si>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</si>
  <si>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</si>
  <si>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</si>
  <si>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</si>
  <si>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</si>
  <si>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</si>
  <si>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</si>
  <si>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</si>
  <si>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</si>
  <si>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</si>
  <si>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</si>
  <si>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</si>
  <si>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</si>
  <si>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</si>
  <si>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</si>
  <si>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</si>
  <si>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</si>
  <si>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</si>
  <si>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</si>
  <si>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</si>
  <si>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</si>
  <si>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</si>
  <si>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</si>
  <si>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</si>
  <si>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</si>
  <si>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</si>
  <si>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</si>
  <si>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</si>
  <si>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</si>
  <si>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</si>
  <si>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</si>
  <si>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</si>
  <si>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</si>
  <si>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</si>
  <si>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</si>
  <si>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</si>
  <si>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</si>
  <si>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</si>
  <si>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</si>
  <si>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</si>
  <si>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</si>
  <si>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</si>
  <si>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</si>
  <si>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</si>
  <si>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</si>
  <si>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</si>
  <si>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</si>
  <si>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</si>
  <si>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</si>
  <si>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</si>
  <si>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</si>
  <si>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</si>
  <si>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</si>
  <si>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</si>
  <si>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</si>
  <si>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</si>
  <si>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</si>
  <si>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</si>
  <si>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</si>
  <si>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</si>
  <si>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</si>
  <si>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</si>
  <si>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</si>
  <si>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</si>
  <si>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</si>
  <si>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</si>
  <si>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</si>
  <si>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</si>
  <si>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</si>
  <si>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</si>
  <si>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</si>
  <si>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</si>
  <si>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</si>
  <si>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</si>
  <si>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</si>
  <si>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</si>
  <si>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</si>
  <si>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</si>
  <si>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</si>
  <si>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</si>
  <si>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</si>
  <si>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</si>
  <si>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</si>
  <si>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</si>
  <si>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</si>
  <si>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</si>
  <si>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</si>
  <si>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</si>
  <si>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</si>
  <si>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</si>
  <si>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</si>
  <si>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</si>
  <si>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</si>
  <si>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</si>
  <si>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</si>
  <si>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</si>
  <si>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</si>
  <si>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</si>
  <si>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</si>
  <si>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</si>
  <si>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</si>
  <si>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</si>
  <si>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</si>
  <si>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</si>
  <si>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</si>
  <si>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</si>
  <si>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</si>
  <si>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</si>
  <si>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</si>
  <si>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</si>
  <si>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</si>
  <si>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</si>
  <si>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</si>
  <si>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</si>
  <si>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</si>
  <si>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</si>
  <si>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</si>
  <si>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</si>
  <si>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</si>
  <si>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</si>
  <si>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</si>
  <si>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</si>
  <si>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</si>
  <si>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</si>
  <si>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</si>
  <si>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</si>
  <si>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</si>
  <si>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</si>
  <si>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</si>
  <si>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</si>
  <si>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</si>
  <si>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</si>
  <si>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</si>
  <si>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</si>
  <si>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</si>
  <si>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</si>
  <si>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</si>
  <si>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</si>
  <si>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</si>
  <si>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</si>
  <si>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</si>
  <si>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</si>
  <si>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</si>
  <si>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</si>
  <si>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</si>
  <si>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</si>
  <si>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</si>
  <si>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</si>
  <si>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</si>
  <si>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</si>
  <si>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</si>
  <si>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</si>
  <si>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</si>
  <si>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</si>
  <si>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</si>
  <si>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</si>
  <si>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</si>
  <si>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</si>
  <si>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</si>
  <si>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</si>
  <si>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</si>
  <si>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</si>
  <si>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</si>
  <si>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</si>
  <si>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</si>
  <si>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</si>
  <si>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</si>
  <si>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</si>
  <si>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</si>
  <si>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</si>
  <si>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</si>
  <si>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</si>
  <si>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</si>
  <si>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</si>
  <si>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</si>
  <si>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</si>
  <si>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</si>
  <si>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</si>
  <si>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</si>
  <si>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</si>
  <si>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</si>
  <si>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</si>
  <si>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</si>
  <si>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</si>
  <si>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</si>
  <si>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</si>
  <si>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</si>
  <si>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</si>
  <si>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</si>
  <si>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</si>
  <si>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</si>
  <si>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</si>
  <si>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</si>
  <si>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</si>
  <si>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</si>
  <si>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</si>
  <si>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</si>
  <si>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</si>
  <si>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</si>
  <si>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</si>
  <si>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</si>
  <si>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</si>
  <si>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</si>
  <si>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</si>
  <si>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</si>
  <si>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</si>
  <si>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</si>
  <si>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</si>
  <si>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</si>
  <si>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</si>
  <si>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</si>
  <si>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</si>
  <si>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</si>
  <si>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</si>
  <si>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</si>
  <si>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</si>
  <si>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</si>
  <si>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</si>
  <si>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</si>
  <si>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</si>
  <si>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</si>
  <si>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</si>
  <si>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</si>
  <si>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</si>
  <si>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</si>
  <si>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</si>
  <si>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</si>
  <si>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</si>
  <si>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</si>
  <si>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</si>
  <si>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</si>
  <si>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</si>
  <si>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</si>
  <si>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</si>
  <si>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</si>
  <si>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</si>
  <si>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</si>
  <si>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</si>
  <si>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</si>
  <si>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</si>
  <si>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</si>
  <si>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</si>
  <si>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</si>
  <si>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</si>
  <si>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</si>
  <si>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</si>
  <si>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</si>
  <si>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</si>
  <si>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</si>
  <si>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</si>
  <si>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</si>
  <si>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</si>
  <si>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</si>
  <si>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</si>
  <si>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</si>
  <si>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</si>
  <si>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</si>
  <si>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</si>
  <si>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</si>
  <si>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</si>
  <si>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</si>
  <si>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</si>
  <si>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</si>
  <si>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</si>
  <si>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</si>
  <si>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</si>
  <si>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</si>
  <si>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</si>
  <si>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</si>
  <si>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</si>
  <si>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</si>
  <si>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</si>
  <si>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</si>
  <si>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</si>
  <si>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</si>
  <si>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</si>
  <si>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</si>
  <si>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</si>
  <si>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</si>
  <si>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</si>
  <si>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</si>
  <si>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</si>
  <si>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</si>
  <si>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</si>
  <si>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</si>
  <si>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</si>
  <si>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</si>
  <si>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</si>
  <si>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</si>
  <si>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</si>
  <si>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</si>
  <si>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</si>
  <si>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</si>
  <si>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</si>
  <si>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</si>
  <si>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</si>
  <si>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</si>
  <si>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</si>
  <si>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</si>
  <si>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</si>
  <si>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</si>
  <si>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</si>
  <si>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</si>
  <si>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</si>
  <si>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</si>
  <si>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</si>
  <si>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</si>
  <si>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</si>
  <si>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</si>
  <si>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</si>
  <si>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</si>
  <si>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</si>
  <si>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</si>
  <si>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</si>
  <si>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</si>
  <si>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</si>
  <si>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</si>
  <si>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</si>
  <si>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</si>
  <si>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</si>
  <si>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</si>
  <si>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</si>
  <si>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</si>
  <si>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</si>
  <si>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</si>
  <si>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</si>
  <si>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</si>
  <si>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</si>
  <si>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</si>
  <si>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</si>
  <si>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</si>
  <si>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</si>
  <si>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</si>
  <si>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</si>
  <si>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</si>
  <si>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</si>
  <si>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</si>
  <si>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</si>
  <si>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</si>
  <si>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</si>
  <si>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</si>
  <si>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</si>
  <si>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</si>
  <si>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</si>
  <si>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</si>
  <si>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</si>
  <si>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</si>
  <si>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</si>
  <si>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</si>
  <si>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</si>
  <si>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</si>
  <si>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</si>
  <si>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</si>
  <si>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</si>
  <si>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</si>
  <si>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</si>
  <si>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</si>
  <si>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</si>
  <si>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</si>
  <si>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</si>
  <si>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</si>
  <si>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</si>
  <si>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</si>
  <si>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</si>
  <si>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</si>
  <si>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</si>
  <si>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</si>
  <si>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</si>
  <si>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</si>
  <si>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</si>
  <si>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</si>
  <si>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</si>
  <si>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</si>
  <si>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</si>
  <si>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</si>
  <si>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</si>
  <si>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</si>
  <si>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</si>
  <si>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</si>
  <si>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</si>
  <si>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</si>
  <si>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</si>
  <si>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</si>
  <si>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</si>
  <si>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</si>
  <si>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</si>
  <si>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</si>
  <si>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</si>
  <si>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</si>
  <si>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</si>
  <si>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</si>
  <si>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</si>
  <si>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</si>
  <si>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</si>
  <si>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</si>
  <si>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</si>
  <si>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</si>
  <si>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</si>
  <si>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</si>
  <si>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</si>
  <si>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</si>
  <si>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</si>
  <si>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</si>
  <si>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</si>
  <si>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</si>
  <si>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</si>
  <si>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</si>
  <si>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</si>
  <si>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</si>
  <si>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</si>
  <si>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</si>
  <si>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</si>
  <si>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</si>
  <si>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</si>
  <si>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</si>
  <si>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</si>
  <si>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</si>
  <si>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</si>
  <si>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</si>
  <si>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</si>
  <si>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</si>
  <si>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</si>
  <si>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</si>
  <si>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</si>
  <si>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</si>
  <si>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</si>
  <si>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</si>
  <si>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</si>
  <si>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</si>
  <si>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</si>
  <si>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</si>
  <si>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</si>
  <si>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</si>
  <si>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</si>
  <si>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</si>
  <si>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</si>
  <si>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</si>
  <si>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</si>
  <si>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</si>
  <si>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</si>
  <si>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</si>
  <si>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</si>
  <si>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</si>
  <si>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</si>
  <si>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</si>
  <si>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</si>
  <si>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</si>
  <si>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</si>
  <si>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</si>
  <si>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</si>
  <si>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</si>
  <si>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</si>
  <si>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</si>
  <si>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</si>
  <si>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</si>
  <si>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</si>
  <si>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</si>
  <si>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</si>
  <si>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</si>
  <si>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</si>
  <si>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</si>
  <si>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</si>
  <si>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</si>
  <si>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</si>
  <si>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</si>
  <si>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</si>
  <si>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</si>
  <si>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</si>
  <si>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</si>
  <si>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</si>
  <si>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</si>
  <si>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</si>
  <si>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</si>
  <si>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</si>
  <si>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</si>
  <si>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</si>
  <si>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</si>
  <si>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</si>
  <si>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</si>
  <si>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</si>
  <si>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</si>
  <si>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</si>
  <si>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</si>
  <si>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</si>
  <si>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</si>
  <si>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</si>
  <si>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</si>
  <si>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</si>
  <si>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</si>
  <si>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</si>
  <si>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</si>
  <si>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</si>
  <si>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</si>
  <si>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</si>
  <si>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</si>
  <si>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</si>
  <si>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</si>
  <si>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</si>
  <si>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</si>
  <si>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</si>
  <si>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</si>
  <si>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</si>
  <si>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</si>
  <si>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</si>
  <si>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</si>
  <si>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</si>
  <si>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</si>
  <si>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</si>
  <si>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</si>
  <si>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</si>
  <si>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</si>
  <si>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</si>
  <si>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</si>
  <si>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</si>
  <si>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</si>
  <si>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</si>
  <si>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</si>
  <si>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</si>
  <si>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</si>
  <si>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</si>
  <si>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</si>
  <si>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</si>
  <si>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</si>
  <si>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</si>
  <si>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</si>
  <si>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</si>
  <si>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</si>
  <si>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</si>
  <si>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</si>
  <si>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</si>
  <si>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</si>
  <si>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</si>
  <si>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</si>
  <si>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</si>
  <si>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</si>
  <si>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</si>
  <si>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</si>
  <si>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</si>
  <si>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</si>
  <si>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</si>
  <si>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</si>
  <si>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</si>
  <si>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</si>
  <si>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</si>
  <si>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</si>
  <si>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</si>
  <si>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</si>
  <si>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</si>
  <si>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</si>
  <si>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</si>
  <si>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</si>
  <si>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</si>
  <si>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</si>
  <si>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</si>
  <si>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</si>
  <si>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</si>
  <si>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</si>
  <si>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</si>
  <si>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</si>
  <si>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</si>
  <si>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</si>
  <si>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</si>
  <si>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</si>
  <si>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</si>
  <si>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</si>
  <si>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</si>
  <si>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</si>
  <si>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</si>
  <si>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</si>
  <si>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</si>
  <si>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</si>
  <si>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</si>
  <si>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</si>
  <si>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</si>
  <si>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</si>
  <si>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</si>
  <si>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</si>
  <si>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</si>
  <si>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</si>
  <si>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</si>
  <si>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</si>
  <si>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</si>
  <si>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</si>
  <si>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</si>
  <si>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</si>
  <si>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</si>
  <si>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</si>
  <si>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</si>
  <si>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</si>
  <si>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</si>
  <si>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</si>
  <si>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</si>
  <si>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</si>
  <si>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</si>
  <si>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</si>
  <si>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</si>
  <si>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</si>
  <si>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</si>
  <si>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</si>
  <si>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</si>
  <si>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</si>
  <si>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</si>
  <si>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</si>
  <si>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</si>
  <si>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</si>
  <si>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</si>
  <si>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</si>
  <si>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</si>
  <si>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</si>
  <si>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</si>
  <si>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</si>
  <si>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</si>
  <si>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</si>
  <si>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</si>
  <si>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</si>
  <si>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</si>
  <si>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</si>
  <si>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</si>
  <si>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</si>
  <si>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</si>
  <si>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</si>
  <si>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</si>
  <si>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</si>
  <si>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</si>
  <si>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</si>
  <si>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</si>
  <si>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</si>
  <si>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</si>
  <si>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</si>
  <si>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</si>
  <si>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</si>
  <si>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</si>
  <si>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</si>
  <si>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</si>
  <si>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</si>
  <si>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</si>
  <si>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</si>
  <si>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</si>
  <si>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</si>
  <si>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</si>
  <si>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</si>
  <si>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</si>
  <si>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</si>
  <si>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</si>
  <si>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</si>
  <si>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</si>
  <si>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</si>
  <si>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</si>
  <si>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</si>
  <si>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</si>
  <si>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</si>
  <si>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</si>
  <si>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</si>
  <si>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</si>
  <si>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</si>
  <si>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</si>
  <si>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</si>
  <si>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</si>
  <si>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</si>
  <si>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</si>
  <si>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</si>
  <si>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</si>
  <si>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</si>
  <si>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</si>
  <si>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</si>
  <si>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</si>
  <si>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</si>
  <si>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</si>
  <si>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</si>
  <si>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</si>
  <si>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</si>
  <si>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</si>
  <si>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</si>
  <si>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</si>
  <si>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</si>
  <si>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</si>
  <si>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</si>
  <si>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</si>
  <si>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</si>
  <si>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</si>
  <si>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</si>
  <si>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</si>
  <si>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</si>
  <si>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</si>
  <si>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</si>
  <si>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</si>
  <si>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</si>
  <si>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</si>
  <si>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</si>
  <si>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</si>
  <si>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</si>
  <si>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</si>
  <si>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</si>
  <si>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</si>
  <si>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</si>
  <si>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</si>
  <si>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</si>
  <si>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</si>
  <si>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</si>
  <si>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</si>
  <si>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</si>
  <si>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</si>
  <si>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</si>
  <si>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</si>
  <si>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</si>
  <si>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</si>
  <si>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</si>
  <si>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</si>
  <si>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</si>
  <si>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</si>
  <si>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</si>
  <si>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</si>
  <si>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</si>
  <si>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</si>
  <si>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</si>
  <si>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</si>
  <si>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</si>
  <si>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</si>
  <si>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</si>
  <si>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</si>
  <si>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</si>
  <si>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</si>
  <si>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</si>
  <si>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</si>
  <si>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</si>
  <si>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</si>
  <si>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</si>
  <si>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</si>
  <si>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</si>
  <si>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</si>
  <si>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</si>
  <si>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</si>
  <si>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</si>
  <si>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</si>
  <si>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</si>
  <si>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</si>
  <si>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</si>
  <si>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</si>
  <si>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</si>
  <si>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</si>
  <si>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</si>
  <si>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</si>
  <si>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</si>
  <si>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</si>
  <si>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</si>
  <si>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</si>
  <si>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</si>
  <si>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</si>
  <si>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</si>
  <si>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</si>
  <si>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</si>
  <si>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</si>
  <si>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</si>
  <si>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</si>
  <si>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</si>
  <si>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</si>
  <si>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</si>
  <si>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</si>
  <si>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</si>
  <si>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</si>
  <si>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</si>
  <si>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</si>
  <si>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</si>
  <si>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</si>
  <si>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</si>
  <si>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</si>
  <si>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</si>
  <si>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</si>
  <si>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</si>
  <si>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</si>
  <si>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</si>
  <si>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</si>
  <si>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</si>
  <si>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</si>
  <si>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</si>
  <si>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</si>
  <si>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</si>
  <si>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</si>
  <si>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</si>
  <si>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</si>
  <si>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</si>
  <si>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</si>
  <si>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</si>
  <si>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</si>
  <si>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</si>
  <si>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</si>
  <si>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</si>
  <si>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</si>
  <si>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</si>
  <si>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</si>
  <si>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</si>
  <si>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</si>
  <si>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</si>
  <si>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</si>
  <si>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</si>
  <si>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</si>
  <si>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</si>
  <si>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</si>
  <si>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</si>
  <si>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</si>
  <si>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</si>
  <si>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</si>
  <si>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</si>
  <si>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</si>
  <si>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</si>
  <si>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</si>
  <si>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</si>
  <si>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</si>
  <si>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</si>
  <si>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</si>
  <si>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</si>
  <si>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</si>
  <si>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</si>
  <si>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</si>
  <si>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</si>
  <si>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</si>
  <si>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</si>
  <si>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</si>
  <si>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</si>
  <si>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</si>
  <si>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</si>
  <si>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</si>
  <si>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</si>
  <si>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</si>
  <si>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</si>
  <si>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</si>
  <si>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</si>
  <si>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</si>
  <si>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</si>
  <si>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</si>
  <si>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</si>
  <si>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</si>
  <si>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</si>
  <si>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</si>
  <si>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</si>
  <si>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</si>
  <si>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</si>
  <si>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</si>
  <si>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</si>
  <si>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</si>
  <si>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</si>
  <si>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</si>
  <si>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</si>
  <si>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</si>
  <si>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</si>
  <si>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</si>
  <si>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</si>
  <si>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</si>
  <si>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</si>
  <si>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</si>
  <si>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</si>
  <si>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</si>
  <si>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</si>
  <si>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</si>
  <si>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</si>
  <si>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</si>
  <si>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</si>
  <si>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</si>
  <si>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</si>
  <si>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</si>
  <si>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</si>
  <si>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</si>
  <si>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</si>
  <si>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</si>
  <si>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</si>
  <si>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</si>
  <si>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</si>
  <si>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</si>
  <si>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</si>
  <si>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</si>
  <si>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</si>
  <si>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</si>
  <si>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</si>
  <si>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</si>
  <si>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</si>
  <si>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</si>
  <si>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</si>
  <si>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</si>
  <si>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</si>
  <si>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</si>
  <si>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</si>
  <si>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</si>
  <si>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</si>
  <si>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</si>
  <si>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</si>
  <si>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</si>
  <si>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</si>
  <si>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</si>
  <si>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</si>
  <si>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</si>
  <si>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</si>
  <si>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</si>
  <si>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</si>
  <si>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</si>
  <si>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</si>
  <si>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</si>
  <si>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</si>
  <si>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</si>
  <si>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</si>
  <si>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</si>
  <si>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</si>
  <si>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</si>
  <si>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</si>
  <si>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</si>
  <si>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</si>
  <si>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</si>
  <si>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</si>
  <si>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</si>
  <si>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</si>
  <si>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</si>
  <si>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</si>
  <si>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</si>
  <si>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</si>
  <si>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</si>
  <si>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</si>
  <si>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</si>
  <si>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</si>
  <si>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</si>
  <si>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</si>
  <si>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</si>
  <si>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</si>
  <si>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</si>
  <si>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</si>
  <si>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</si>
  <si>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</si>
  <si>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</si>
  <si>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</si>
  <si>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</si>
  <si>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</si>
  <si>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</si>
  <si>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</si>
  <si>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</si>
  <si>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</si>
  <si>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</si>
  <si>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</si>
  <si>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</si>
  <si>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</si>
  <si>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</si>
  <si>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</si>
  <si>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</si>
  <si>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</si>
  <si>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</si>
  <si>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</si>
  <si>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</si>
  <si>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</si>
  <si>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</si>
  <si>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</si>
  <si>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</si>
  <si>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</si>
  <si>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</si>
  <si>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</si>
  <si>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</si>
  <si>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</si>
  <si>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</si>
  <si>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</si>
  <si>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</si>
  <si>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</si>
  <si>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</si>
  <si>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</si>
  <si>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</si>
  <si>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</si>
  <si>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</si>
  <si>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</si>
  <si>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</si>
  <si>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</si>
  <si>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</si>
  <si>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</si>
  <si>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</si>
  <si>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</si>
  <si>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</si>
  <si>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</si>
  <si>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</si>
  <si>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</si>
  <si>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</si>
  <si>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</si>
  <si>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</si>
  <si>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</si>
  <si>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</si>
  <si>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</si>
  <si>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</si>
  <si>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</si>
  <si>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</si>
  <si>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</si>
  <si>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</si>
  <si>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</si>
  <si>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</si>
  <si>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</si>
  <si>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</si>
  <si>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</si>
  <si>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</si>
  <si>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</si>
  <si>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</si>
  <si>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</si>
  <si>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</si>
  <si>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</si>
  <si>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</si>
  <si>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</si>
  <si>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</si>
  <si>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</si>
  <si>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</si>
  <si>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</si>
  <si>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</si>
  <si>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</si>
  <si>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</si>
  <si>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</si>
  <si>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</si>
  <si>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</si>
  <si>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</si>
  <si>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</si>
  <si>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</si>
  <si>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</si>
  <si>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</si>
  <si>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</si>
  <si>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</si>
  <si>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</si>
  <si>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</si>
  <si>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</si>
  <si>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</si>
  <si>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</si>
  <si>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</si>
  <si>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</si>
  <si>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</si>
  <si>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</si>
  <si>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</si>
  <si>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</si>
  <si>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</si>
  <si>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</si>
  <si>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</si>
  <si>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</si>
  <si>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</si>
  <si>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</si>
  <si>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</si>
  <si>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</si>
  <si>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</si>
  <si>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</si>
  <si>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</si>
  <si>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</si>
  <si>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</si>
  <si>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</si>
  <si>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</si>
  <si>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</si>
  <si>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</si>
  <si>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</si>
  <si>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</si>
  <si>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</si>
  <si>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</si>
  <si>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</si>
  <si>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</si>
  <si>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</si>
  <si>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</si>
  <si>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</si>
  <si>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</si>
  <si>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</si>
  <si>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</si>
  <si>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</si>
  <si>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</si>
  <si>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</si>
  <si>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</si>
  <si>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</si>
  <si>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</si>
  <si>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</si>
  <si>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</si>
  <si>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</si>
  <si>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</si>
  <si>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</si>
  <si>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</si>
  <si>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</si>
  <si>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</si>
  <si>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</si>
  <si>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</si>
  <si>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</si>
  <si>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</si>
  <si>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</si>
  <si>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</si>
  <si>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</si>
  <si>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</si>
  <si>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</si>
  <si>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</si>
  <si>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</si>
  <si>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</si>
  <si>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</si>
  <si>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</si>
  <si>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</si>
  <si>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</si>
  <si>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</si>
  <si>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</si>
  <si>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</si>
  <si>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</si>
  <si>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</si>
  <si>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</si>
  <si>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</si>
  <si>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</si>
  <si>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</si>
  <si>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</si>
  <si>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</si>
  <si>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</si>
  <si>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</si>
  <si>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</si>
  <si>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</si>
  <si>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</si>
  <si>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</si>
  <si>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</si>
  <si>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</si>
  <si>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</si>
  <si>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</si>
  <si>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</si>
  <si>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</si>
  <si>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</si>
  <si>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</si>
  <si>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</si>
  <si>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</si>
  <si>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</si>
  <si>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</si>
  <si>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</si>
  <si>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</si>
  <si>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</si>
  <si>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</si>
  <si>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</si>
  <si>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</si>
  <si>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</si>
  <si>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</si>
  <si>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</si>
  <si>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</si>
  <si>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</si>
  <si>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</si>
  <si>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</si>
  <si>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</si>
  <si>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</si>
  <si>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</si>
  <si>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</si>
  <si>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</si>
  <si>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</si>
  <si>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</si>
  <si>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</si>
  <si>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</si>
  <si>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</si>
  <si>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</si>
  <si>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</si>
  <si>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</si>
  <si>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</si>
  <si>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</si>
  <si>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</si>
  <si>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</si>
  <si>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</si>
  <si>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</si>
  <si>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</si>
  <si>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</si>
  <si>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</si>
  <si>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</si>
  <si>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</si>
  <si>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</si>
  <si>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</si>
  <si>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</si>
  <si>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</si>
  <si>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</si>
  <si>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</si>
  <si>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</si>
  <si>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</si>
  <si>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</si>
  <si>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</si>
  <si>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</si>
  <si>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</si>
  <si>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</si>
  <si>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</si>
  <si>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</si>
  <si>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</si>
  <si>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</si>
  <si>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</si>
  <si>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</si>
  <si>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</si>
  <si>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</si>
  <si>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</si>
  <si>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</si>
  <si>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</si>
  <si>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</si>
  <si>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</si>
  <si>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</si>
  <si>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</si>
  <si>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</si>
  <si>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</si>
  <si>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</si>
  <si>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</si>
  <si>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</si>
  <si>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</si>
  <si>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</si>
  <si>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</si>
  <si>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</si>
  <si>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</si>
  <si>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</si>
  <si>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</si>
  <si>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</si>
  <si>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</si>
  <si>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</si>
  <si>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</si>
  <si>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</si>
  <si>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</si>
  <si>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</si>
  <si>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</si>
  <si>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</si>
  <si>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</si>
  <si>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</si>
  <si>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</si>
  <si>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</si>
  <si>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</si>
  <si>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</si>
  <si>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</si>
  <si>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</si>
  <si>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</si>
  <si>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</si>
  <si>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</si>
  <si>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</si>
  <si>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</si>
  <si>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</si>
  <si>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</si>
  <si>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</si>
  <si>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</si>
  <si>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</si>
  <si>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</si>
  <si>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</si>
  <si>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</si>
  <si>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</si>
  <si>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</si>
  <si>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</si>
  <si>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</si>
  <si>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</si>
  <si>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</si>
  <si>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</si>
  <si>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</si>
  <si>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</si>
  <si>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</si>
  <si>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</si>
  <si>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</si>
  <si>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</si>
  <si>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</si>
  <si>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</si>
  <si>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</si>
  <si>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</si>
  <si>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</si>
  <si>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</si>
  <si>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</si>
  <si>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</si>
  <si>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</si>
  <si>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</si>
  <si>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</si>
  <si>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</si>
  <si>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</si>
  <si>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</si>
  <si>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</si>
  <si>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</si>
  <si>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</si>
  <si>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</si>
  <si>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</si>
  <si>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</si>
  <si>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</si>
  <si>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</si>
  <si>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</si>
  <si>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</si>
  <si>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</si>
  <si>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</si>
  <si>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</si>
  <si>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</si>
  <si>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</si>
  <si>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</si>
  <si>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</si>
  <si>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</si>
  <si>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</si>
  <si>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</si>
  <si>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</si>
  <si>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</si>
  <si>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</si>
  <si>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</si>
  <si>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</si>
  <si>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</si>
  <si>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</si>
  <si>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</si>
  <si>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</si>
  <si>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</si>
  <si>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</si>
  <si>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</si>
  <si>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</si>
  <si>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</si>
  <si>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</si>
  <si>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</si>
  <si>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</si>
  <si>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</si>
  <si>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</si>
  <si>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</si>
  <si>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</si>
  <si>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</si>
  <si>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</si>
  <si>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</si>
  <si>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</si>
  <si>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</si>
  <si>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</si>
  <si>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</si>
  <si>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</si>
  <si>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</si>
  <si>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</si>
  <si>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</si>
  <si>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</si>
  <si>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</si>
  <si>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</si>
  <si>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</si>
  <si>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</si>
  <si>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</si>
  <si>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</si>
  <si>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</si>
  <si>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</si>
  <si>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</si>
  <si>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</si>
  <si>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</si>
  <si>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</si>
  <si>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</si>
  <si>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</si>
  <si>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</si>
  <si>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</si>
  <si>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</si>
  <si>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</si>
  <si>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</si>
  <si>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</si>
  <si>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</si>
  <si>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</si>
  <si>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</si>
  <si>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</si>
  <si>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</si>
  <si>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</si>
  <si>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</si>
  <si>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</si>
  <si>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</si>
  <si>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</si>
  <si>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</si>
  <si>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</si>
  <si>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</si>
  <si>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</si>
  <si>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</si>
  <si>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</si>
  <si>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</si>
  <si>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</si>
  <si>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</si>
  <si>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</si>
  <si>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</si>
  <si>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</si>
  <si>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</si>
  <si>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</si>
  <si>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</si>
  <si>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</si>
  <si>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</si>
  <si>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</si>
  <si>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</si>
  <si>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</si>
  <si>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</si>
  <si>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</si>
  <si>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</si>
  <si>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</si>
  <si>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</si>
  <si>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</si>
  <si>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</si>
  <si>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</si>
  <si>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</si>
  <si>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</si>
  <si>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</si>
  <si>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</si>
  <si>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</si>
  <si>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</si>
  <si>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</si>
  <si>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</si>
  <si>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</si>
  <si>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</si>
  <si>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</si>
  <si>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</si>
  <si>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</si>
  <si>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</si>
  <si>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</si>
  <si>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</si>
  <si>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</si>
  <si>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</si>
  <si>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</si>
  <si>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</si>
  <si>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</si>
  <si>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</si>
  <si>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</si>
  <si>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</si>
  <si>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</si>
  <si>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</si>
  <si>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</si>
  <si>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</si>
  <si>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</si>
  <si>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</si>
  <si>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</si>
  <si>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</si>
  <si>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</si>
  <si>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</si>
  <si>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</si>
  <si>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</si>
  <si>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</si>
  <si>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</si>
  <si>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</si>
  <si>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</si>
  <si>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</si>
  <si>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</si>
  <si>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</si>
  <si>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</si>
  <si>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</si>
  <si>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</si>
  <si>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</si>
  <si>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</si>
  <si>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</si>
  <si>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</si>
  <si>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</si>
  <si>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</si>
  <si>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</si>
  <si>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</si>
  <si>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</si>
  <si>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</si>
  <si>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</si>
  <si>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</si>
  <si>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</si>
  <si>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</si>
  <si>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</si>
  <si>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</si>
  <si>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</si>
  <si>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</si>
  <si>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</si>
  <si>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</si>
  <si>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</si>
  <si>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</si>
  <si>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</si>
  <si>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</si>
  <si>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</si>
  <si>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</si>
  <si>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</si>
  <si>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</si>
  <si>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</si>
  <si>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</si>
  <si>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</si>
  <si>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</si>
  <si>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</si>
  <si>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</si>
  <si>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</si>
  <si>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</si>
  <si>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</si>
  <si>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</si>
  <si>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</si>
  <si>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</si>
  <si>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</si>
  <si>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</si>
  <si>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</si>
  <si>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</si>
  <si>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</si>
  <si>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</si>
  <si>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</si>
  <si>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</si>
  <si>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</si>
  <si>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</si>
  <si>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</si>
  <si>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</si>
  <si>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</si>
  <si>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</si>
  <si>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</si>
  <si>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</si>
  <si>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</si>
  <si>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</si>
  <si>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</si>
  <si>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</si>
  <si>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</si>
  <si>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</si>
  <si>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</si>
  <si>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</si>
  <si>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</si>
  <si>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</si>
  <si>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</si>
  <si>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</si>
  <si>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</si>
  <si>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</si>
  <si>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</si>
  <si>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</si>
  <si>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</si>
  <si>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</si>
  <si>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</si>
  <si>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</si>
  <si>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</si>
  <si>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</si>
  <si>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</si>
  <si>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</si>
  <si>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</si>
  <si>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</si>
  <si>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</si>
  <si>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</si>
  <si>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</si>
  <si>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</si>
  <si>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</si>
  <si>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</si>
  <si>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</si>
  <si>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</si>
  <si>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</si>
  <si>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</si>
  <si>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</si>
  <si>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</si>
  <si>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</si>
  <si>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</si>
  <si>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</si>
  <si>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</si>
  <si>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</si>
  <si>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</si>
  <si>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</si>
  <si>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</si>
  <si>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</si>
  <si>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</si>
  <si>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</si>
  <si>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</si>
  <si>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</si>
  <si>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</si>
  <si>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</si>
  <si>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</si>
  <si>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</si>
  <si>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</si>
  <si>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</si>
  <si>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</si>
  <si>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</si>
  <si>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</si>
  <si>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</si>
  <si>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</si>
  <si>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</si>
  <si>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</si>
  <si>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</si>
  <si>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</si>
  <si>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</si>
  <si>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</si>
  <si>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</si>
  <si>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</si>
  <si>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</si>
  <si>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</si>
  <si>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</si>
  <si>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</si>
  <si>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</si>
  <si>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</si>
  <si>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</si>
  <si>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</si>
  <si>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</si>
  <si>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</si>
  <si>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</si>
  <si>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</si>
  <si>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</si>
  <si>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</si>
  <si>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</si>
  <si>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</si>
  <si>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</si>
  <si>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</si>
  <si>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</si>
  <si>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</si>
  <si>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</si>
  <si>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</si>
  <si>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</si>
  <si>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</si>
  <si>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</si>
  <si>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</si>
  <si>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</si>
  <si>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</si>
  <si>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</si>
  <si>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</si>
  <si>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</si>
  <si>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</si>
  <si>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</si>
  <si>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</si>
  <si>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</si>
  <si>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</si>
  <si>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</si>
  <si>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</si>
  <si>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</si>
  <si>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</si>
  <si>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</si>
  <si>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</si>
  <si>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</si>
  <si>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</si>
  <si>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</si>
  <si>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</si>
  <si>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</si>
  <si>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</si>
  <si>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</si>
  <si>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</si>
  <si>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</si>
  <si>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</si>
  <si>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</si>
  <si>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</si>
  <si>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</si>
  <si>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</si>
  <si>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</si>
  <si>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</si>
  <si>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</si>
  <si>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</si>
  <si>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</si>
  <si>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</si>
  <si>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</si>
  <si>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</si>
  <si>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</si>
  <si>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</si>
  <si>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</si>
  <si>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</si>
  <si>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</si>
  <si>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</si>
  <si>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</si>
  <si>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</si>
  <si>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</si>
  <si>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</si>
  <si>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</si>
  <si>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</si>
  <si>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</si>
  <si>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</si>
  <si>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</si>
  <si>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</si>
  <si>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</si>
  <si>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</si>
  <si>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</si>
  <si>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</si>
  <si>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</si>
  <si>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</si>
  <si>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</si>
  <si>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</si>
  <si>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</si>
  <si>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</si>
  <si>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</si>
  <si>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</si>
  <si>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</si>
  <si>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</si>
  <si>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</si>
  <si>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</si>
  <si>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</si>
  <si>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</si>
  <si>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</si>
  <si>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</si>
  <si>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</si>
  <si>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</si>
  <si>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</si>
  <si>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</si>
  <si>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</si>
  <si>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</si>
  <si>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</si>
  <si>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</si>
  <si>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</si>
  <si>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</si>
  <si>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</si>
  <si>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</si>
  <si>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</si>
  <si>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</si>
  <si>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</si>
  <si>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</si>
  <si>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</si>
  <si>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</si>
  <si>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</si>
  <si>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</si>
  <si>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</si>
  <si>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</si>
  <si>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</si>
  <si>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</si>
  <si>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</si>
  <si>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</si>
  <si>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</si>
  <si>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</si>
  <si>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</si>
  <si>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</si>
  <si>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</si>
  <si>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</si>
  <si>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</si>
  <si>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</si>
  <si>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</si>
  <si>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</si>
  <si>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</si>
  <si>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</si>
  <si>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</si>
  <si>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</si>
  <si>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</si>
  <si>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</si>
  <si>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</si>
  <si>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</si>
  <si>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</si>
  <si>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</si>
  <si>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</si>
  <si>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</si>
  <si>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</si>
  <si>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</si>
  <si>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</si>
  <si>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</si>
  <si>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</si>
  <si>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</si>
  <si>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</si>
  <si>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</si>
  <si>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</si>
  <si>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</si>
  <si>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</si>
  <si>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</si>
  <si>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</si>
  <si>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</si>
  <si>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</si>
  <si>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</si>
  <si>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</si>
  <si>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</si>
  <si>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</si>
  <si>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</si>
  <si>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</si>
  <si>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</si>
  <si>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</si>
  <si>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</si>
  <si>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</si>
  <si>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</si>
  <si>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</si>
  <si>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</si>
  <si>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</si>
  <si>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</si>
  <si>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</si>
  <si>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</si>
  <si>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</si>
  <si>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</si>
  <si>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</si>
  <si>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</si>
  <si>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</si>
  <si>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</si>
  <si>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</si>
  <si>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</si>
  <si>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</si>
  <si>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</si>
  <si>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</si>
  <si>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</si>
  <si>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</si>
  <si>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</si>
  <si>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</si>
  <si>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</si>
  <si>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</si>
  <si>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</si>
  <si>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</si>
  <si>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</si>
  <si>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</si>
  <si>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</si>
  <si>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</si>
  <si>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</si>
  <si>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</si>
  <si>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</si>
  <si>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</si>
  <si>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</si>
  <si>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</si>
  <si>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</si>
  <si>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</si>
  <si>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</si>
  <si>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</si>
  <si>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</si>
  <si>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</si>
  <si>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</si>
  <si>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</si>
  <si>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</si>
  <si>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</si>
  <si>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</si>
  <si>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</si>
  <si>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</si>
  <si>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</si>
  <si>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</si>
  <si>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</si>
  <si>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</si>
  <si>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</si>
  <si>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</si>
  <si>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</si>
  <si>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</si>
  <si>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</si>
  <si>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</si>
  <si>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</si>
  <si>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</si>
  <si>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</si>
  <si>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</si>
  <si>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</si>
  <si>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</si>
  <si>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</si>
  <si>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</si>
  <si>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</si>
  <si>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</si>
  <si>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</si>
  <si>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</si>
  <si>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</si>
  <si>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</si>
  <si>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</si>
  <si>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</si>
  <si>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</si>
  <si>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</si>
  <si>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</si>
  <si>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</si>
  <si>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</si>
  <si>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</si>
  <si>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</si>
  <si>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</si>
  <si>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</si>
  <si>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</si>
  <si>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</si>
  <si>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</si>
  <si>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</si>
  <si>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</si>
  <si>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</si>
  <si>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</si>
  <si>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</si>
  <si>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</si>
  <si>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</si>
  <si>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</si>
  <si>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</si>
  <si>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</si>
  <si>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</si>
  <si>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</si>
  <si>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</si>
  <si>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</si>
  <si>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</si>
  <si>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</si>
  <si>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</si>
  <si>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</si>
  <si>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</si>
  <si>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</si>
  <si>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</si>
  <si>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</si>
  <si>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</si>
  <si>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</si>
  <si>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</si>
  <si>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</si>
  <si>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</si>
  <si>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</si>
  <si>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</si>
  <si>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</si>
  <si>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</si>
  <si>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</si>
  <si>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</si>
  <si>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</si>
  <si>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</si>
  <si>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</si>
  <si>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</si>
  <si>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</si>
  <si>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</si>
  <si>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</si>
  <si>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</si>
  <si>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</si>
  <si>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</si>
  <si>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</si>
  <si>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</si>
  <si>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</si>
  <si>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</si>
  <si>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</si>
  <si>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</si>
  <si>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</si>
  <si>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</si>
  <si>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</si>
  <si>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</si>
  <si>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</si>
  <si>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</si>
  <si>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</si>
  <si>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</si>
  <si>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</si>
  <si>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</si>
  <si>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</si>
  <si>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</si>
  <si>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</si>
  <si>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</si>
  <si>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</si>
  <si>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</si>
  <si>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</si>
  <si>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</si>
  <si>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</si>
  <si>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</si>
  <si>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</si>
  <si>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</si>
  <si>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</si>
  <si>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</si>
  <si>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</si>
  <si>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</si>
  <si>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</si>
  <si>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</si>
  <si>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</si>
  <si>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</si>
  <si>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</si>
  <si>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</si>
  <si>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</si>
  <si>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</si>
  <si>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</si>
  <si>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</si>
  <si>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</si>
  <si>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</si>
  <si>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</si>
  <si>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</si>
  <si>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</si>
  <si>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</si>
  <si>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</si>
  <si>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</si>
  <si>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</si>
  <si>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</si>
  <si>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</si>
  <si>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</si>
  <si>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</si>
  <si>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</si>
  <si>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</si>
  <si>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</si>
  <si>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</si>
  <si>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</si>
  <si>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</si>
  <si>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</si>
  <si>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</si>
  <si>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</si>
  <si>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</si>
  <si>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</si>
  <si>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</si>
  <si>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</si>
  <si>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</si>
  <si>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</si>
  <si>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</si>
  <si>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</si>
  <si>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</si>
  <si>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</si>
  <si>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</si>
  <si>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</si>
  <si>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</si>
  <si>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</si>
  <si>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</si>
  <si>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</si>
  <si>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</si>
  <si>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</si>
  <si>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</si>
  <si>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</si>
  <si>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</si>
  <si>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</si>
  <si>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</si>
  <si>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</si>
  <si>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</si>
  <si>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</si>
  <si>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</si>
  <si>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</si>
  <si>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</si>
  <si>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</si>
  <si>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</si>
  <si>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</si>
  <si>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</si>
  <si>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</si>
  <si>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</si>
  <si>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</si>
  <si>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</si>
  <si>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</si>
  <si>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</si>
  <si>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</si>
  <si>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</si>
  <si>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</si>
  <si>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</si>
  <si>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</si>
  <si>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</si>
  <si>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</si>
  <si>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</si>
  <si>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</si>
  <si>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</si>
  <si>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</si>
  <si>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</si>
  <si>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</si>
  <si>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</si>
  <si>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</si>
  <si>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</si>
  <si>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</si>
  <si>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</si>
  <si>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</si>
  <si>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</si>
  <si>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</si>
  <si>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</si>
  <si>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</si>
  <si>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</si>
  <si>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</si>
  <si>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</si>
  <si>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</si>
  <si>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</si>
  <si>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</si>
  <si>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</si>
  <si>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</si>
  <si>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</si>
  <si>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</si>
  <si>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</si>
  <si>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</si>
  <si>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</si>
  <si>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</si>
  <si>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</si>
  <si>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</si>
  <si>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</si>
  <si>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</si>
  <si>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</si>
  <si>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</si>
  <si>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</si>
  <si>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</si>
  <si>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</si>
  <si>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</si>
  <si>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</si>
  <si>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</si>
  <si>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</si>
  <si>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</si>
  <si>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</si>
  <si>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</si>
  <si>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</si>
  <si>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</si>
  <si>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</si>
  <si>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</si>
  <si>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</si>
  <si>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</si>
  <si>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</si>
  <si>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</si>
  <si>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</si>
  <si>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</si>
  <si>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</si>
  <si>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</si>
  <si>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</si>
  <si>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</si>
  <si>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</si>
  <si>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</si>
  <si>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</si>
  <si>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</si>
  <si>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</si>
  <si>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</si>
  <si>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</si>
  <si>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</si>
  <si>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</si>
  <si>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</si>
  <si>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</si>
  <si>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</si>
  <si>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</si>
  <si>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</si>
  <si>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</si>
  <si>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</si>
  <si>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</si>
  <si>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</si>
  <si>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</si>
  <si>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</si>
  <si>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</si>
  <si>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</si>
  <si>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</si>
  <si>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</si>
  <si>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</si>
  <si>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</si>
  <si>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</si>
  <si>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</si>
  <si>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</si>
  <si>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</si>
  <si>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</si>
  <si>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</si>
  <si>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</si>
  <si>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</si>
  <si>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</si>
  <si>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</si>
  <si>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</si>
  <si>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</si>
  <si>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</si>
  <si>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</si>
  <si>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</si>
  <si>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</si>
  <si>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</si>
  <si>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</si>
  <si>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</si>
  <si>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</si>
  <si>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</si>
  <si>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</si>
  <si>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</si>
  <si>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</si>
  <si>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</si>
  <si>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</si>
  <si>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</si>
  <si>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</si>
  <si>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</si>
  <si>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</si>
  <si>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</si>
  <si>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</si>
  <si>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</si>
  <si>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</si>
  <si>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</si>
  <si>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</si>
  <si>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</si>
  <si>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</si>
  <si>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</si>
  <si>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</si>
  <si>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</si>
  <si>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</si>
  <si>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</si>
  <si>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</si>
  <si>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</si>
  <si>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</si>
  <si>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</si>
  <si>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</si>
  <si>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</si>
  <si>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</si>
  <si>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</si>
  <si>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</si>
  <si>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</si>
  <si>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</si>
  <si>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</si>
  <si>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</si>
  <si>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</si>
  <si>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</si>
  <si>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</si>
  <si>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</si>
  <si>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</si>
  <si>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</si>
  <si>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</si>
  <si>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</si>
  <si>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</si>
  <si>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</si>
  <si>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</si>
  <si>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</si>
  <si>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</si>
  <si>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</si>
  <si>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</si>
  <si>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</si>
  <si>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</si>
  <si>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</si>
  <si>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</si>
  <si>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</si>
  <si>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</si>
  <si>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</si>
  <si>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</si>
  <si>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</si>
  <si>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</si>
  <si>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</si>
  <si>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</si>
  <si>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</si>
  <si>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</si>
  <si>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</si>
  <si>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</si>
  <si>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</si>
  <si>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</si>
  <si>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</si>
  <si>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</si>
  <si>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</si>
  <si>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</si>
  <si>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</si>
  <si>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</si>
  <si>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</si>
  <si>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</si>
  <si>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</si>
  <si>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</si>
  <si>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</si>
  <si>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</si>
  <si>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</si>
  <si>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</si>
  <si>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</si>
  <si>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</si>
  <si>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</si>
  <si>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</si>
  <si>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</si>
  <si>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</si>
  <si>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</si>
  <si>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</si>
  <si>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</si>
  <si>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</si>
  <si>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</si>
  <si>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</si>
  <si>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</si>
  <si>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</si>
  <si>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</si>
  <si>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</si>
  <si>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</si>
  <si>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</si>
  <si>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</si>
  <si>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</si>
  <si>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</si>
  <si>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</si>
  <si>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</si>
  <si>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</si>
  <si>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</si>
  <si>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</si>
  <si>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</si>
  <si>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</si>
  <si>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</si>
  <si>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</si>
  <si>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</si>
  <si>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</si>
  <si>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</si>
  <si>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</si>
  <si>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</si>
  <si>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</si>
  <si>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</si>
  <si>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</si>
  <si>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</si>
  <si>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</si>
  <si>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</si>
  <si>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</si>
  <si>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</si>
  <si>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</si>
  <si>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</si>
  <si>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</si>
  <si>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</si>
  <si>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</si>
  <si>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</si>
  <si>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</si>
  <si>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</si>
  <si>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</si>
  <si>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</si>
  <si>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</si>
  <si>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</si>
  <si>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</si>
  <si>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</si>
  <si>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</si>
  <si>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</si>
  <si>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</si>
  <si>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</si>
  <si>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</si>
  <si>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</si>
  <si>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</si>
  <si>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</si>
  <si>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</si>
  <si>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</si>
  <si>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</si>
  <si>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</si>
  <si>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</si>
  <si>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</si>
  <si>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</si>
  <si>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</si>
  <si>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</si>
  <si>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</si>
  <si>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</si>
  <si>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</si>
  <si>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</si>
  <si>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</si>
  <si>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</si>
  <si>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</si>
  <si>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</si>
  <si>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</si>
  <si>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</si>
  <si>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</si>
  <si>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</si>
  <si>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</si>
  <si>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</si>
  <si>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</si>
  <si>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</si>
  <si>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</si>
  <si>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</si>
  <si>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</si>
  <si>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</si>
  <si>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</si>
  <si>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</si>
  <si>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</si>
  <si>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</si>
  <si>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</si>
  <si>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</si>
  <si>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</si>
  <si>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</si>
  <si>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</si>
  <si>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</si>
  <si>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</si>
  <si>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</si>
  <si>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</si>
  <si>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</si>
  <si>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</si>
  <si>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</si>
  <si>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</si>
  <si>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</si>
  <si>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</si>
  <si>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</si>
  <si>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</si>
  <si>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</si>
  <si>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</si>
  <si>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</si>
  <si>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</si>
  <si>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</si>
  <si>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</si>
  <si>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</si>
  <si>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</si>
  <si>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</si>
  <si>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</si>
  <si>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</si>
  <si>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</si>
  <si>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</si>
  <si>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</si>
  <si>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</si>
  <si>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</si>
  <si>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</si>
  <si>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</si>
  <si>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</si>
  <si>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</si>
  <si>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</si>
  <si>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</si>
  <si>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</si>
  <si>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</si>
  <si>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</si>
  <si>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</si>
  <si>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</si>
  <si>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</si>
  <si>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</si>
  <si>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</si>
  <si>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</si>
  <si>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</si>
  <si>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</si>
  <si>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</si>
  <si>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</si>
  <si>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</si>
  <si>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</si>
  <si>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</si>
  <si>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</si>
  <si>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</si>
  <si>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</si>
  <si>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</si>
  <si>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</si>
  <si>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</si>
  <si>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</si>
  <si>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</si>
  <si>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</si>
  <si>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</si>
  <si>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</si>
  <si>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</si>
  <si>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</si>
  <si>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</si>
  <si>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</si>
  <si>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</si>
  <si>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</si>
  <si>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</si>
  <si>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</si>
  <si>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</si>
  <si>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</si>
  <si>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</si>
  <si>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</si>
  <si>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</si>
  <si>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</si>
  <si>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</si>
  <si>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</si>
  <si>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</si>
  <si>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</si>
  <si>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</si>
  <si>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</si>
  <si>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</si>
  <si>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</si>
  <si>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</si>
  <si>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</si>
  <si>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</si>
  <si>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</si>
  <si>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</si>
  <si>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</si>
  <si>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</si>
  <si>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</si>
  <si>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</si>
  <si>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</si>
  <si>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</si>
  <si>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</si>
  <si>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</si>
  <si>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</si>
  <si>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</si>
  <si>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</si>
  <si>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</si>
  <si>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</si>
  <si>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</si>
  <si>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</si>
  <si>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</si>
  <si>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</si>
  <si>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</si>
  <si>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</si>
  <si>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</si>
  <si>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</si>
  <si>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</si>
  <si>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</si>
  <si>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</si>
  <si>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</si>
  <si>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</si>
  <si>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</si>
  <si>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</si>
  <si>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</si>
  <si>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</si>
  <si>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</si>
  <si>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</si>
  <si>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</si>
  <si>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</si>
  <si>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</si>
  <si>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</si>
  <si>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</si>
  <si>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</si>
  <si>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</si>
  <si>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</si>
  <si>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</si>
  <si>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</si>
  <si>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</si>
  <si>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</si>
  <si>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</si>
  <si>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</si>
  <si>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</si>
  <si>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</si>
  <si>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</si>
  <si>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</si>
  <si>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</si>
  <si>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</si>
  <si>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</si>
  <si>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</si>
  <si>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</si>
  <si>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</si>
  <si>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</si>
  <si>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</si>
  <si>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</si>
  <si>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</si>
  <si>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</si>
  <si>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</si>
  <si>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</si>
  <si>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</si>
  <si>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</si>
  <si>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</si>
  <si>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</si>
  <si>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</si>
  <si>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</si>
  <si>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</si>
  <si>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</si>
  <si>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</si>
  <si>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</si>
  <si>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</si>
  <si>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</si>
  <si>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</si>
  <si>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</si>
  <si>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</si>
  <si>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</si>
  <si>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</si>
  <si>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</si>
  <si>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</si>
  <si>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</si>
  <si>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</si>
  <si>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</si>
  <si>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</si>
  <si>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</si>
  <si>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</si>
  <si>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</si>
  <si>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</si>
  <si>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</si>
  <si>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</si>
  <si>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</si>
  <si>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</si>
  <si>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</si>
  <si>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</si>
  <si>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</si>
  <si>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</si>
  <si>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</si>
  <si>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</si>
  <si>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</si>
  <si>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</si>
  <si>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</si>
  <si>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</si>
  <si>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</si>
  <si>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</si>
  <si>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</si>
  <si>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</si>
  <si>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</si>
  <si>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</si>
  <si>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</si>
  <si>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</si>
  <si>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</si>
  <si>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</si>
  <si>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</si>
  <si>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</si>
  <si>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</si>
  <si>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</si>
  <si>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</si>
  <si>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</si>
  <si>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</si>
  <si>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</si>
  <si>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</si>
  <si>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</si>
  <si>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</si>
  <si>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</si>
  <si>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</si>
  <si>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</si>
  <si>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</si>
  <si>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</si>
  <si>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</si>
  <si>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</si>
  <si>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</si>
  <si>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</si>
  <si>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</si>
  <si>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</si>
  <si>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</si>
  <si>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</si>
  <si>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</si>
  <si>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</si>
  <si>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</si>
  <si>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</si>
  <si>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</si>
  <si>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</si>
  <si>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</si>
  <si>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</si>
  <si>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</si>
  <si>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</si>
  <si>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</si>
  <si>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</si>
  <si>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</si>
  <si>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</si>
  <si>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</si>
  <si>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</si>
  <si>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</si>
  <si>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</si>
  <si>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</si>
  <si>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</si>
  <si>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</si>
  <si>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</si>
  <si>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</si>
  <si>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</si>
  <si>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</si>
  <si>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</si>
  <si>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</si>
  <si>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</si>
  <si>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</si>
  <si>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</si>
  <si>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</si>
  <si>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</si>
  <si>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</si>
  <si>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</si>
  <si>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</si>
  <si>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</si>
  <si>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</si>
  <si>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</si>
  <si>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</si>
  <si>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</si>
  <si>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</si>
  <si>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</si>
  <si>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</si>
  <si>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</si>
  <si>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</si>
  <si>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</si>
  <si>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</si>
  <si>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</si>
  <si>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</si>
  <si>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</si>
  <si>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</si>
  <si>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</si>
  <si>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</si>
  <si>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</si>
  <si>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</si>
  <si>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</si>
  <si>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</si>
  <si>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</si>
  <si>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</si>
  <si>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</si>
  <si>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</si>
  <si>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</si>
  <si>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</si>
  <si>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</si>
  <si>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</si>
  <si>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</si>
  <si>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</si>
  <si>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</si>
  <si>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</si>
  <si>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</si>
  <si>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</si>
  <si>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</si>
  <si>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</si>
  <si>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</si>
  <si>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</si>
  <si>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</si>
  <si>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</si>
  <si>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</si>
  <si>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</si>
  <si>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</si>
  <si>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</si>
  <si>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</si>
  <si>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</si>
  <si>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</si>
  <si>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</si>
  <si>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</si>
  <si>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</si>
  <si>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</si>
  <si>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</si>
  <si>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</si>
  <si>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</si>
  <si>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</si>
  <si>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</si>
  <si>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</si>
  <si>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</si>
  <si>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</si>
  <si>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</si>
  <si>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</si>
  <si>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</si>
  <si>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</si>
  <si>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</si>
  <si>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</si>
  <si>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</si>
  <si>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</si>
  <si>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</si>
  <si>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</si>
  <si>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</si>
  <si>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</si>
  <si>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</si>
  <si>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</si>
  <si>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</si>
  <si>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</si>
  <si>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</si>
  <si>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</si>
  <si>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</si>
  <si>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</si>
  <si>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</si>
  <si>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</si>
  <si>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</si>
  <si>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</si>
  <si>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</si>
  <si>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</si>
  <si>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</si>
  <si>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</si>
  <si>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</si>
  <si>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</si>
  <si>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</si>
  <si>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</si>
  <si>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</si>
  <si>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</si>
  <si>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</si>
  <si>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</si>
  <si>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</si>
  <si>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</si>
  <si>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</si>
  <si>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</si>
  <si>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</si>
  <si>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</si>
  <si>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</si>
  <si>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</si>
  <si>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</si>
  <si>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</si>
  <si>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</si>
  <si>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</si>
  <si>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</si>
  <si>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</si>
  <si>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</si>
  <si>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</si>
  <si>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</si>
  <si>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</si>
  <si>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</si>
  <si>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</si>
  <si>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</si>
  <si>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</si>
  <si>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</si>
  <si>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</si>
  <si>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</si>
  <si>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</si>
  <si>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</si>
  <si>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</si>
  <si>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</si>
  <si>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</si>
  <si>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</si>
  <si>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</si>
  <si>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</si>
  <si>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</si>
  <si>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</si>
  <si>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</si>
  <si>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</si>
  <si>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</si>
  <si>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</si>
  <si>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</si>
  <si>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</si>
  <si>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</si>
  <si>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</si>
  <si>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</si>
  <si>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</si>
  <si>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</si>
  <si>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</si>
  <si>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</si>
  <si>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</si>
  <si>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</si>
  <si>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</si>
  <si>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</si>
  <si>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</si>
  <si>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</si>
  <si>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</si>
  <si>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</si>
  <si>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</si>
  <si>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</si>
  <si>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</si>
  <si>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</si>
  <si>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</si>
  <si>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</si>
  <si>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</si>
  <si>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</si>
  <si>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</si>
  <si>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</si>
  <si>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</si>
  <si>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</si>
  <si>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</si>
  <si>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</si>
  <si>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</si>
  <si>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</si>
  <si>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</si>
  <si>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</si>
  <si>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</si>
  <si>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</si>
  <si>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</si>
  <si>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</si>
  <si>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</si>
  <si>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</si>
  <si>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</si>
  <si>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</si>
  <si>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</si>
  <si>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</si>
  <si>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</si>
  <si>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</si>
  <si>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</si>
  <si>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</si>
  <si>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</si>
  <si>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</si>
  <si>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</si>
  <si>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</si>
  <si>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</si>
  <si>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</si>
  <si>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</si>
  <si>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</si>
  <si>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</si>
  <si>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</si>
  <si>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</si>
  <si>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</si>
  <si>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</si>
  <si>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</si>
  <si>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</si>
  <si>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</si>
  <si>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</si>
  <si>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</si>
  <si>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</si>
  <si>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</si>
  <si>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</si>
  <si>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</si>
  <si>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</si>
  <si>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</si>
  <si>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</si>
  <si>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</si>
  <si>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</si>
  <si>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</si>
  <si>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</si>
  <si>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</si>
  <si>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</si>
  <si>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</si>
  <si>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</si>
  <si>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</si>
  <si>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</si>
  <si>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</si>
  <si>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</si>
  <si>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</si>
  <si>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</si>
  <si>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</si>
  <si>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</si>
  <si>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</si>
  <si>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</si>
  <si>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</si>
  <si>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</si>
  <si>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</si>
  <si>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</si>
  <si>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</si>
  <si>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</si>
  <si>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</si>
  <si>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</si>
  <si>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</si>
  <si>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</si>
  <si>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</si>
  <si>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</si>
  <si>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</si>
  <si>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</si>
  <si>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</si>
  <si>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</si>
  <si>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</si>
  <si>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</si>
  <si>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</si>
  <si>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</si>
  <si>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</si>
  <si>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</si>
  <si>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</si>
  <si>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</si>
  <si>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</si>
  <si>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</si>
  <si>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</si>
  <si>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</si>
  <si>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</si>
  <si>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</si>
  <si>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</si>
  <si>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</si>
  <si>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</si>
  <si>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</si>
  <si>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</si>
  <si>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</si>
  <si>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</si>
  <si>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</si>
  <si>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</si>
  <si>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</si>
  <si>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</si>
  <si>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</si>
  <si>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</si>
  <si>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</si>
  <si>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</si>
  <si>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</si>
  <si>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</si>
  <si>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</si>
  <si>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</si>
  <si>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</si>
  <si>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</si>
  <si>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</si>
  <si>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</si>
  <si>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</si>
  <si>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</si>
  <si>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</si>
  <si>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</si>
  <si>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</si>
  <si>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</si>
  <si>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</si>
  <si>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</si>
  <si>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</si>
  <si>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</si>
  <si>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</si>
  <si>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</si>
  <si>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</si>
  <si>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</si>
  <si>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</si>
  <si>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</si>
  <si>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</si>
  <si>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</si>
  <si>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</si>
  <si>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</si>
  <si>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</si>
  <si>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</si>
  <si>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</si>
  <si>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</si>
  <si>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</si>
  <si>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</si>
  <si>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</si>
  <si>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</si>
  <si>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</si>
  <si>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</si>
  <si>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</si>
  <si>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</si>
  <si>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</si>
  <si>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</si>
  <si>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</si>
  <si>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</si>
  <si>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</si>
  <si>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</si>
  <si>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</si>
  <si>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</si>
  <si>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</si>
  <si>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</si>
  <si>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</si>
  <si>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</si>
  <si>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</si>
  <si>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</si>
  <si>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</si>
  <si>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</si>
  <si>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</si>
  <si>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</si>
  <si>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</si>
  <si>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</si>
  <si>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</si>
  <si>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</si>
  <si>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</si>
  <si>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</si>
  <si>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</si>
  <si>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</si>
  <si>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</si>
  <si>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</si>
  <si>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</si>
  <si>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</si>
  <si>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</si>
  <si>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</si>
  <si>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</si>
  <si>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</si>
  <si>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</si>
  <si>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</si>
  <si>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</si>
  <si>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</si>
  <si>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</si>
  <si>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</si>
  <si>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</si>
  <si>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</si>
  <si>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</si>
  <si>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</si>
  <si>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</si>
  <si>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</si>
  <si>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</si>
  <si>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</si>
  <si>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</si>
  <si>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</si>
  <si>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</si>
  <si>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</si>
  <si>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</si>
  <si>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</si>
  <si>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</si>
  <si>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</si>
  <si>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</si>
  <si>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</si>
  <si>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</si>
  <si>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</si>
  <si>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</si>
  <si>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</si>
  <si>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</si>
  <si>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</si>
  <si>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</si>
  <si>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</si>
  <si>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</si>
  <si>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</si>
  <si>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</si>
  <si>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</si>
  <si>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</si>
  <si>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</si>
  <si>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</si>
  <si>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</si>
  <si>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</si>
  <si>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</si>
  <si>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</si>
  <si>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</si>
  <si>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</si>
  <si>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</si>
  <si>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</si>
  <si>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</si>
  <si>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</si>
  <si>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</si>
  <si>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</si>
  <si>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</si>
  <si>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</si>
  <si>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</si>
  <si>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</si>
  <si>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</si>
  <si>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</si>
  <si>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</si>
  <si>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</si>
  <si>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</si>
  <si>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</si>
  <si>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</si>
  <si>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</si>
  <si>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</si>
  <si>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</si>
  <si>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</si>
  <si>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</si>
  <si>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</si>
  <si>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</si>
  <si>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</si>
  <si>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</si>
  <si>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</si>
  <si>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</si>
  <si>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</si>
  <si>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</si>
  <si>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</si>
  <si>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</si>
  <si>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</si>
  <si>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</si>
  <si>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</si>
  <si>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</si>
  <si>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</si>
  <si>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</si>
  <si>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</si>
  <si>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</si>
  <si>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</si>
  <si>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</si>
  <si>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</si>
  <si>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</si>
  <si>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</si>
  <si>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</si>
  <si>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</si>
  <si>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</si>
  <si>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</si>
  <si>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</si>
  <si>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</si>
  <si>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</si>
  <si>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</si>
  <si>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</si>
  <si>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</si>
  <si>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</si>
  <si>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</si>
  <si>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</si>
  <si>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</si>
  <si>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</si>
  <si>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</si>
  <si>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</si>
  <si>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</si>
  <si>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</si>
  <si>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</si>
  <si>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</si>
  <si>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</si>
  <si>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</si>
  <si>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</si>
  <si>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</si>
  <si>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</si>
  <si>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</si>
  <si>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</si>
  <si>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</si>
  <si>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</si>
  <si>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</si>
  <si>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</si>
  <si>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</si>
  <si>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</si>
  <si>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</si>
  <si>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</si>
  <si>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</si>
  <si>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</si>
  <si>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</si>
  <si>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</si>
  <si>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</si>
  <si>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</si>
  <si>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</si>
  <si>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</si>
  <si>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</si>
  <si>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</si>
  <si>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</si>
  <si>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</si>
  <si>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</si>
  <si>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</si>
  <si>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</si>
  <si>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</si>
  <si>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</si>
  <si>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</si>
  <si>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</si>
  <si>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</si>
  <si>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</si>
  <si>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</si>
  <si>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</si>
  <si>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</si>
  <si>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</si>
  <si>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</si>
  <si>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</si>
  <si>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</si>
  <si>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</si>
  <si>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</si>
  <si>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</si>
  <si>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</si>
  <si>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</si>
  <si>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</si>
  <si>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</si>
  <si>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</si>
  <si>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</si>
  <si>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</si>
  <si>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</si>
  <si>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</si>
  <si>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</si>
  <si>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</si>
  <si>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</si>
  <si>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</si>
  <si>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</si>
  <si>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</si>
  <si>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</si>
  <si>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</si>
  <si>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</si>
  <si>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</si>
  <si>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</si>
  <si>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</si>
  <si>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</si>
  <si>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</si>
  <si>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</si>
  <si>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</si>
  <si>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</si>
  <si>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</si>
  <si>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</si>
  <si>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</si>
  <si>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</si>
  <si>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</si>
  <si>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</si>
  <si>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</si>
  <si>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</si>
  <si>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</si>
  <si>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</si>
  <si>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</si>
  <si>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</si>
  <si>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</si>
  <si>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</si>
  <si>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</si>
  <si>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</si>
  <si>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</si>
  <si>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</si>
  <si>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</si>
  <si>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</si>
  <si>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</si>
  <si>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</si>
  <si>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</si>
  <si>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</si>
  <si>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</si>
  <si>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</si>
  <si>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</si>
  <si>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</si>
  <si>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</si>
  <si>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</si>
  <si>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</si>
  <si>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</si>
  <si>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</si>
  <si>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</si>
  <si>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</si>
  <si>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</si>
  <si>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</si>
  <si>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</si>
  <si>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</si>
  <si>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</si>
  <si>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</si>
  <si>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</si>
  <si>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</si>
  <si>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</si>
  <si>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</si>
  <si>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</si>
  <si>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</si>
  <si>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</si>
  <si>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</si>
  <si>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</si>
  <si>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</si>
  <si>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</si>
  <si>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</si>
  <si>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</si>
  <si>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</si>
  <si>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</si>
  <si>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</si>
  <si>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</si>
  <si>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</si>
  <si>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</si>
  <si>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</si>
  <si>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</si>
  <si>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</si>
  <si>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</si>
  <si>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</si>
  <si>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</si>
  <si>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</si>
  <si>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</si>
  <si>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</si>
  <si>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</si>
  <si>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</si>
  <si>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</si>
  <si>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</si>
  <si>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</si>
  <si>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</si>
  <si>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</si>
  <si>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</si>
  <si>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</si>
  <si>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</si>
  <si>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</si>
  <si>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</si>
  <si>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</si>
  <si>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</si>
  <si>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</si>
  <si>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</si>
  <si>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</si>
  <si>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</si>
  <si>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</si>
  <si>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</si>
  <si>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</si>
  <si>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</si>
  <si>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</si>
  <si>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</si>
  <si>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</si>
  <si>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</si>
  <si>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</si>
  <si>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</si>
  <si>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</si>
  <si>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</si>
  <si>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</si>
  <si>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</si>
  <si>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</si>
  <si>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</si>
  <si>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</si>
  <si>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</si>
  <si>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</si>
  <si>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</si>
  <si>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</si>
  <si>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</si>
  <si>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</si>
  <si>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</si>
  <si>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</si>
  <si>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</si>
  <si>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</si>
  <si>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</si>
  <si>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</si>
  <si>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</si>
  <si>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</si>
  <si>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</si>
  <si>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</si>
  <si>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</si>
  <si>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</si>
  <si>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</si>
  <si>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</si>
  <si>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</si>
  <si>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</si>
  <si>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</si>
  <si>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</si>
  <si>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</si>
  <si>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</si>
  <si>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</si>
  <si>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</si>
  <si>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</si>
  <si>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</si>
  <si>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</si>
  <si>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</si>
  <si>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</si>
  <si>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</si>
  <si>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</si>
  <si>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</si>
  <si>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</si>
  <si>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</si>
  <si>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</si>
  <si>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</si>
  <si>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</si>
  <si>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</si>
  <si>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</si>
  <si>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</si>
  <si>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</si>
  <si>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</si>
  <si>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</si>
  <si>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</si>
  <si>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</si>
  <si>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</si>
  <si>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</si>
  <si>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</si>
  <si>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</si>
  <si>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</si>
  <si>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</si>
  <si>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</si>
  <si>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</si>
  <si>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</si>
  <si>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</si>
  <si>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</si>
  <si>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</si>
  <si>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</si>
  <si>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</si>
  <si>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</si>
  <si>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</si>
  <si>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</si>
  <si>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</si>
  <si>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</si>
  <si>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</si>
  <si>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</si>
  <si>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</si>
  <si>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</si>
  <si>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</si>
  <si>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</si>
  <si>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</si>
  <si>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</si>
  <si>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</si>
  <si>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</si>
  <si>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</si>
  <si>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</si>
  <si>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</si>
  <si>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</si>
  <si>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</si>
  <si>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</si>
  <si>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</si>
  <si>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</si>
  <si>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</si>
  <si>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</si>
  <si>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</si>
  <si>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</si>
  <si>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</si>
  <si>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</si>
  <si>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</si>
  <si>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</si>
  <si>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</si>
  <si>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</si>
  <si>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</si>
  <si>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</si>
  <si>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</si>
  <si>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</si>
  <si>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</si>
  <si>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</si>
  <si>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</si>
  <si>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</si>
  <si>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</si>
  <si>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</si>
  <si>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</si>
  <si>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</si>
  <si>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</si>
  <si>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</si>
  <si>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</si>
  <si>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</si>
  <si>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</si>
  <si>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</si>
  <si>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</si>
  <si>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</si>
  <si>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</si>
  <si>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</si>
  <si>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</si>
  <si>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</si>
  <si>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</si>
  <si>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</si>
  <si>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</si>
  <si>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</si>
  <si>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</si>
  <si>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</si>
  <si>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</si>
  <si>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</si>
  <si>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</si>
  <si>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</si>
  <si>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</si>
  <si>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</si>
  <si>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</si>
  <si>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</si>
  <si>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</si>
  <si>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</si>
  <si>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</si>
  <si>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</si>
  <si>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</si>
  <si>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</si>
  <si>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</si>
  <si>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</si>
  <si>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</si>
  <si>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</si>
  <si>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</si>
  <si>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</si>
  <si>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</si>
  <si>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</si>
  <si>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</si>
  <si>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</si>
  <si>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</si>
  <si>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</si>
  <si>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</si>
  <si>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</si>
  <si>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</si>
  <si>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</si>
  <si>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</si>
  <si>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</si>
  <si>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</si>
  <si>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</si>
  <si>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</si>
  <si>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</si>
  <si>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</si>
  <si>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</si>
  <si>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</si>
  <si>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</si>
  <si>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</si>
  <si>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</si>
  <si>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</si>
  <si>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</si>
  <si>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</si>
  <si>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</si>
  <si>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</si>
  <si>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</si>
  <si>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</si>
  <si>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</si>
  <si>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</si>
  <si>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</si>
  <si>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</si>
  <si>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</si>
  <si>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</si>
  <si>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</si>
  <si>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</si>
  <si>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</si>
  <si>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</si>
  <si>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</si>
  <si>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</si>
  <si>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</si>
  <si>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</si>
  <si>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</si>
  <si>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</si>
  <si>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</si>
  <si>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</si>
  <si>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</si>
  <si>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</si>
  <si>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</si>
  <si>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</si>
  <si>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</si>
  <si>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</si>
  <si>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</si>
  <si>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</si>
  <si>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</si>
  <si>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</si>
  <si>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</si>
  <si>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</si>
  <si>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</si>
  <si>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</si>
  <si>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</si>
  <si>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</si>
  <si>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</si>
  <si>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</si>
  <si>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</si>
  <si>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</si>
  <si>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</si>
  <si>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</si>
  <si>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</si>
  <si>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</si>
  <si>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</si>
  <si>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</si>
  <si>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</si>
  <si>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</si>
  <si>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</si>
  <si>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</si>
  <si>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</si>
  <si>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</si>
  <si>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</si>
  <si>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</si>
  <si>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</si>
  <si>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</si>
  <si>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</si>
  <si>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</si>
  <si>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</si>
  <si>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</si>
  <si>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</si>
  <si>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</si>
  <si>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</si>
  <si>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</si>
  <si>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</si>
  <si>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</si>
  <si>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</si>
  <si>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</si>
  <si>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</si>
  <si>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</si>
  <si>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</si>
  <si>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</si>
  <si>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</si>
  <si>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</si>
  <si>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</si>
  <si>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</si>
  <si>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</si>
  <si>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</si>
  <si>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</si>
  <si>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</si>
  <si>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</si>
  <si>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</si>
  <si>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</si>
  <si>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</si>
  <si>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</si>
  <si>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</si>
  <si>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</si>
  <si>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</si>
  <si>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</si>
  <si>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</si>
  <si>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</si>
  <si>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</si>
  <si>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</si>
  <si>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</si>
  <si>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</si>
  <si>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</si>
  <si>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</si>
  <si>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</si>
  <si>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</si>
  <si>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</si>
  <si>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</si>
  <si>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</si>
  <si>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</si>
  <si>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</si>
  <si>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</si>
  <si>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</si>
  <si>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</si>
  <si>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</si>
  <si>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</si>
  <si>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</si>
  <si>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</si>
  <si>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</si>
  <si>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</si>
  <si>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</si>
  <si>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</si>
  <si>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</si>
  <si>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</si>
  <si>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</si>
  <si>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</si>
  <si>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</si>
  <si>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</si>
  <si>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</si>
  <si>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</si>
  <si>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</si>
  <si>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</si>
  <si>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</si>
  <si>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</si>
  <si>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</si>
  <si>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</si>
  <si>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</si>
  <si>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</si>
  <si>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</si>
  <si>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</si>
  <si>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</si>
  <si>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</si>
  <si>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</si>
  <si>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</si>
  <si>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</si>
  <si>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</si>
  <si>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</si>
  <si>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</si>
  <si>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</si>
  <si>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</si>
  <si>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</si>
  <si>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</si>
  <si>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</si>
  <si>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</si>
  <si>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</si>
  <si>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</si>
  <si>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</si>
  <si>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</si>
  <si>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</si>
  <si>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</si>
  <si>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</si>
  <si>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</si>
  <si>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</si>
  <si>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</si>
  <si>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</si>
  <si>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</si>
  <si>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</si>
  <si>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</si>
  <si>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</si>
  <si>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</si>
  <si>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</si>
  <si>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</si>
  <si>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</si>
  <si>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</si>
  <si>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</si>
  <si>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</si>
  <si>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</si>
  <si>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</si>
  <si>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</si>
  <si>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</si>
  <si>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</si>
  <si>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</si>
  <si>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</si>
  <si>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</si>
  <si>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</si>
  <si>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</si>
  <si>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</si>
  <si>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</si>
  <si>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</si>
  <si>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</si>
  <si>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</si>
  <si>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</si>
  <si>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</si>
  <si>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</si>
  <si>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</si>
  <si>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</si>
  <si>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</si>
  <si>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</si>
  <si>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</si>
  <si>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</si>
  <si>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</si>
  <si>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</si>
  <si>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</si>
  <si>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</si>
  <si>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</si>
  <si>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</si>
  <si>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</si>
  <si>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</si>
  <si>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</si>
  <si>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</si>
  <si>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</si>
  <si>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</si>
  <si>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</si>
  <si>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</si>
  <si>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</si>
  <si>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</si>
  <si>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</si>
  <si>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</si>
  <si>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</si>
  <si>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</si>
  <si>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</si>
  <si>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</si>
  <si>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</si>
  <si>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</si>
  <si>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</si>
  <si>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</si>
  <si>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</si>
  <si>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</si>
  <si>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</si>
  <si>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</si>
  <si>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</si>
  <si>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</si>
  <si>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</si>
  <si>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</si>
  <si>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</si>
  <si>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</si>
  <si>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</si>
  <si>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</si>
  <si>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</si>
  <si>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</si>
  <si>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</si>
  <si>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</si>
  <si>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</si>
  <si>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</si>
  <si>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</si>
  <si>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</si>
  <si>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</si>
  <si>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</si>
  <si>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</si>
  <si>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</si>
  <si>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</si>
  <si>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</si>
  <si>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</si>
  <si>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</si>
  <si>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</si>
  <si>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</si>
  <si>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</si>
  <si>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</si>
  <si>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</si>
  <si>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</si>
  <si>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</si>
  <si>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</si>
  <si>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</si>
  <si>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</si>
  <si>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</si>
  <si>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</si>
  <si>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</si>
  <si>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</si>
  <si>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</si>
  <si>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</si>
  <si>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</si>
  <si>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</si>
  <si>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</si>
  <si>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</si>
  <si>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</si>
  <si>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</si>
  <si>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</si>
  <si>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</si>
  <si>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</si>
  <si>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</si>
  <si>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</si>
  <si>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</si>
  <si>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</si>
  <si>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</si>
  <si>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</si>
  <si>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</si>
  <si>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</si>
  <si>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</si>
  <si>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</si>
  <si>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</si>
  <si>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</si>
  <si>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</si>
  <si>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</si>
  <si>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</si>
  <si>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</si>
  <si>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</si>
  <si>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</si>
  <si>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</si>
  <si>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</si>
  <si>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</si>
  <si>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</si>
  <si>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</si>
  <si>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</si>
  <si>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</si>
  <si>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</si>
  <si>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</si>
  <si>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</si>
  <si>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</si>
  <si>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</si>
  <si>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</si>
  <si>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</si>
  <si>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</si>
  <si>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</si>
  <si>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</si>
  <si>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</si>
  <si>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</si>
  <si>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</si>
  <si>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</si>
  <si>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</si>
  <si>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</si>
  <si>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</si>
  <si>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</si>
  <si>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</si>
  <si>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</si>
  <si>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</si>
  <si>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</si>
  <si>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</si>
  <si>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</si>
  <si>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</si>
  <si>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</si>
  <si>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</si>
  <si>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</si>
  <si>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</si>
  <si>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</si>
  <si>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</si>
  <si>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</si>
  <si>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</si>
  <si>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</si>
  <si>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</si>
  <si>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</si>
  <si>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</si>
  <si>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</si>
  <si>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</si>
  <si>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</si>
  <si>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</si>
  <si>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</si>
  <si>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</si>
  <si>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</si>
  <si>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</si>
  <si>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</si>
  <si>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</si>
  <si>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</si>
  <si>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</si>
  <si>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</si>
  <si>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</si>
  <si>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</si>
  <si>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</si>
  <si>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</si>
  <si>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</si>
  <si>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</si>
  <si>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</si>
  <si>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</si>
  <si>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</si>
  <si>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</si>
  <si>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</si>
  <si>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</si>
  <si>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</si>
  <si>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</si>
  <si>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</si>
  <si>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</si>
  <si>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</si>
  <si>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</si>
  <si>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</si>
  <si>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</si>
  <si>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</si>
  <si>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</si>
  <si>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</si>
  <si>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</si>
  <si>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</si>
  <si>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</si>
  <si>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</si>
  <si>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</si>
  <si>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</si>
  <si>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</si>
  <si>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</si>
  <si>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</si>
  <si>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</si>
  <si>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</si>
  <si>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</si>
  <si>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</si>
  <si>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</si>
  <si>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</si>
  <si>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</si>
  <si>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</si>
  <si>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</si>
  <si>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</si>
  <si>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</si>
  <si>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</si>
  <si>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</si>
  <si>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</si>
  <si>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</si>
  <si>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</si>
  <si>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</si>
  <si>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</si>
  <si>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</si>
  <si>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</si>
  <si>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</si>
  <si>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</si>
  <si>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</si>
  <si>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</si>
  <si>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</si>
  <si>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</si>
  <si>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</si>
  <si>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</si>
  <si>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</si>
  <si>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</si>
  <si>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</si>
  <si>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</si>
  <si>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</si>
  <si>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</si>
  <si>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</si>
  <si>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</si>
  <si>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</si>
  <si>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</si>
  <si>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</si>
  <si>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</si>
  <si>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</si>
  <si>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</si>
  <si>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</si>
  <si>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</si>
  <si>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</si>
  <si>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</si>
  <si>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</si>
  <si>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</si>
  <si>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</si>
  <si>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</si>
  <si>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</si>
  <si>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</si>
  <si>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</si>
  <si>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</si>
  <si>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</si>
  <si>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</si>
  <si>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</si>
  <si>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</si>
  <si>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</si>
  <si>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</si>
  <si>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</si>
  <si>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</si>
  <si>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</si>
  <si>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</si>
  <si>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</si>
  <si>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</si>
  <si>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</si>
  <si>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</si>
  <si>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</si>
  <si>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</si>
  <si>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</si>
  <si>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</si>
  <si>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</si>
  <si>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</si>
  <si>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</si>
  <si>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</si>
  <si>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</si>
  <si>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</si>
  <si>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</si>
  <si>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</si>
  <si>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</si>
  <si>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</si>
  <si>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</si>
  <si>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</si>
  <si>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</si>
  <si>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</si>
  <si>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</si>
  <si>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</si>
  <si>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</si>
  <si>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</si>
  <si>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</si>
  <si>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</si>
  <si>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</si>
  <si>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</si>
  <si>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</si>
  <si>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</si>
  <si>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</si>
  <si>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</si>
  <si>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</si>
  <si>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</si>
  <si>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</si>
  <si>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</si>
  <si>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</si>
  <si>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</si>
  <si>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</si>
  <si>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</si>
  <si>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</si>
  <si>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</si>
  <si>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</si>
  <si>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</si>
  <si>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</si>
  <si>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</si>
  <si>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</si>
  <si>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</si>
  <si>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</si>
  <si>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</si>
  <si>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</si>
  <si>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</si>
  <si>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</si>
  <si>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</si>
  <si>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</si>
  <si>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</si>
  <si>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</si>
  <si>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</si>
  <si>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</si>
  <si>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</si>
  <si>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</si>
  <si>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</si>
  <si>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</si>
  <si>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</si>
  <si>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</si>
  <si>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</si>
  <si>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</si>
  <si>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</si>
  <si>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</si>
  <si>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</si>
  <si>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</si>
  <si>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</si>
  <si>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</si>
  <si>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</si>
  <si>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</si>
  <si>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</si>
  <si>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</si>
  <si>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</si>
  <si>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</si>
  <si>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</si>
  <si>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</si>
  <si>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</si>
  <si>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</si>
  <si>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</si>
  <si>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</si>
  <si>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</si>
  <si>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</si>
  <si>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</si>
  <si>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</si>
  <si>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</si>
  <si>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</si>
  <si>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</si>
  <si>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</si>
  <si>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</si>
  <si>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</si>
  <si>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</si>
  <si>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</si>
  <si>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</si>
  <si>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</si>
  <si>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</si>
  <si>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</si>
  <si>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</si>
  <si>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</si>
  <si>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</si>
  <si>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</si>
  <si>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</si>
  <si>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</si>
  <si>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</si>
  <si>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</si>
  <si>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</si>
  <si>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</si>
  <si>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</si>
  <si>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</si>
  <si>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</si>
  <si>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</si>
  <si>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</si>
  <si>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</si>
  <si>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</si>
  <si>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</si>
  <si>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</si>
  <si>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</si>
  <si>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</si>
  <si>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</si>
  <si>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</si>
  <si>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</si>
  <si>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</si>
  <si>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</si>
  <si>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</si>
  <si>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</si>
  <si>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</si>
  <si>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</si>
  <si>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</si>
  <si>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</si>
  <si>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</si>
  <si>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</si>
  <si>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</si>
  <si>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</si>
  <si>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</si>
  <si>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</si>
  <si>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</si>
  <si>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</si>
  <si>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</si>
  <si>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</si>
  <si>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</si>
  <si>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</si>
  <si>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</si>
  <si>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</si>
  <si>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</si>
  <si>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</si>
  <si>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</si>
  <si>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</si>
  <si>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</si>
  <si>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</si>
  <si>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</si>
  <si>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</si>
  <si>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</si>
  <si>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</si>
  <si>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</si>
  <si>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</si>
  <si>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</si>
  <si>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</si>
  <si>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</si>
  <si>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</si>
  <si>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</si>
  <si>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</si>
  <si>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</si>
  <si>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</si>
  <si>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</si>
  <si>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</si>
  <si>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</si>
  <si>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</si>
  <si>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</si>
  <si>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</si>
  <si>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</si>
  <si>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</si>
  <si>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</si>
  <si>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</si>
  <si>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</si>
  <si>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</si>
  <si>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</si>
  <si>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</si>
  <si>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</si>
  <si>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</si>
  <si>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</si>
  <si>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</si>
  <si>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</si>
  <si>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</si>
  <si>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</si>
  <si>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</si>
  <si>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</si>
  <si>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</si>
  <si>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</si>
  <si>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</si>
  <si>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</si>
  <si>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</si>
  <si>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</si>
  <si>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</si>
  <si>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</si>
  <si>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</si>
  <si>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</si>
  <si>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</si>
  <si>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</si>
  <si>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</si>
  <si>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</si>
  <si>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</si>
  <si>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</si>
  <si>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</si>
  <si>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</si>
  <si>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</si>
  <si>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</si>
  <si>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</si>
  <si>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</si>
  <si>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</si>
  <si>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</si>
  <si>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</si>
  <si>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</si>
  <si>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</si>
  <si>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</si>
  <si>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</si>
  <si>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</si>
  <si>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</si>
  <si>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</si>
  <si>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</si>
  <si>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</si>
  <si>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</si>
  <si>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</si>
  <si>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</si>
  <si>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</si>
  <si>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</si>
  <si>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</si>
  <si>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</si>
  <si>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</si>
  <si>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</si>
  <si>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</si>
  <si>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</si>
  <si>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</si>
  <si>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</si>
  <si>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</si>
  <si>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</si>
  <si>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</si>
  <si>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</si>
  <si>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</si>
  <si>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</si>
  <si>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</si>
  <si>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</si>
  <si>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</si>
  <si>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</si>
  <si>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</si>
  <si>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</si>
  <si>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</si>
  <si>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</si>
  <si>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</si>
  <si>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</si>
  <si>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</si>
  <si>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</si>
  <si>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</si>
  <si>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</si>
  <si>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</si>
  <si>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</si>
  <si>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</si>
  <si>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</si>
  <si>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</si>
  <si>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</si>
  <si>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</si>
  <si>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</si>
  <si>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</si>
  <si>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</si>
  <si>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</si>
  <si>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</si>
  <si>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</si>
  <si>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</si>
  <si>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</si>
  <si>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</si>
  <si>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</si>
  <si>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</si>
  <si>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</si>
  <si>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</si>
  <si>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</si>
  <si>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</si>
  <si>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</si>
  <si>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</si>
  <si>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</si>
  <si>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</si>
  <si>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</si>
  <si>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</si>
  <si>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</si>
  <si>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</si>
  <si>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</si>
  <si>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</si>
  <si>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</si>
  <si>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</si>
  <si>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</si>
  <si>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</si>
  <si>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</si>
  <si>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</si>
  <si>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</si>
  <si>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</si>
  <si>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</si>
  <si>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</si>
  <si>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</si>
  <si>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</si>
  <si>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</si>
  <si>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</si>
  <si>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</si>
  <si>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</si>
  <si>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</si>
  <si>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</si>
  <si>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</si>
  <si>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</si>
  <si>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</si>
  <si>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</si>
  <si>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</si>
  <si>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</si>
  <si>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</si>
  <si>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</si>
  <si>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</si>
  <si>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</si>
  <si>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</si>
  <si>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</si>
  <si>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</si>
  <si>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</si>
  <si>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</si>
  <si>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</si>
  <si>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</si>
  <si>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</si>
  <si>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</si>
  <si>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</si>
  <si>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</si>
  <si>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</si>
  <si>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</si>
  <si>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</si>
  <si>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</si>
  <si>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</si>
  <si>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</si>
  <si>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</si>
  <si>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</si>
  <si>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</si>
  <si>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</si>
  <si>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</si>
  <si>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</si>
  <si>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</si>
  <si>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</si>
  <si>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</si>
  <si>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</si>
  <si>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</si>
  <si>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</si>
  <si>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</si>
  <si>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</si>
  <si>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</si>
  <si>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</si>
  <si>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</si>
  <si>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</si>
  <si>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</si>
  <si>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</si>
  <si>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</si>
  <si>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</si>
  <si>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</si>
  <si>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</si>
  <si>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</si>
  <si>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</si>
  <si>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</si>
  <si>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</si>
  <si>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</si>
  <si>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</si>
  <si>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</si>
  <si>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</si>
  <si>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</si>
  <si>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</si>
  <si>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</si>
  <si>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</si>
  <si>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</si>
  <si>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</si>
  <si>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</si>
  <si>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</si>
  <si>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</si>
  <si>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</si>
  <si>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</si>
  <si>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</si>
  <si>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</si>
  <si>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</si>
  <si>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</si>
  <si>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</si>
  <si>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</si>
  <si>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</si>
  <si>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</si>
  <si>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</si>
  <si>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</si>
  <si>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</si>
  <si>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</si>
  <si>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</si>
  <si>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</si>
  <si>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</si>
  <si>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</si>
  <si>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</si>
  <si>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</si>
  <si>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</si>
  <si>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</si>
  <si>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</si>
  <si>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</si>
  <si>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</si>
  <si>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</si>
  <si>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</si>
  <si>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</si>
  <si>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</si>
  <si>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</si>
  <si>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</si>
  <si>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</si>
  <si>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</si>
  <si>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</si>
  <si>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</si>
  <si>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</si>
  <si>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</si>
  <si>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</si>
  <si>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</si>
  <si>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</si>
  <si>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</si>
  <si>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</si>
  <si>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</si>
  <si>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</si>
  <si>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</si>
  <si>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</si>
  <si>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</si>
  <si>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</si>
  <si>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</si>
  <si>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</si>
  <si>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</si>
  <si>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</si>
  <si>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</si>
  <si>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</si>
  <si>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</si>
  <si>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</si>
  <si>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</si>
  <si>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</si>
  <si>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</si>
  <si>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</si>
  <si>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</si>
  <si>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</si>
  <si>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</si>
  <si>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</si>
  <si>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</si>
  <si>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</si>
  <si>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</si>
  <si>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</si>
  <si>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</si>
  <si>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</si>
  <si>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</si>
  <si>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</si>
  <si>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</si>
  <si>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</si>
  <si>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</si>
  <si>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</si>
  <si>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</si>
  <si>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</si>
  <si>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</si>
  <si>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</si>
  <si>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</si>
  <si>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</si>
  <si>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</si>
  <si>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</si>
  <si>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</si>
  <si>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</si>
  <si>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</si>
  <si>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</si>
  <si>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</si>
  <si>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</si>
  <si>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</si>
  <si>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</si>
  <si>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</si>
  <si>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</si>
  <si>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</si>
  <si>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</si>
  <si>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</si>
  <si>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</si>
  <si>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</si>
  <si>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</si>
  <si>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</si>
  <si>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</si>
  <si>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</si>
  <si>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</si>
  <si>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</si>
  <si>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</si>
  <si>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</si>
  <si>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</si>
  <si>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</si>
  <si>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</si>
  <si>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</si>
  <si>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</si>
  <si>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</si>
  <si>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</si>
  <si>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</si>
  <si>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</si>
  <si>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</si>
  <si>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</si>
  <si>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</si>
  <si>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</si>
  <si>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</si>
  <si>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</si>
  <si>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</si>
  <si>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</si>
  <si>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</si>
  <si>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</si>
  <si>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</si>
  <si>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</si>
  <si>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</si>
  <si>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</si>
  <si>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</si>
  <si>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</si>
  <si>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</si>
  <si>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</si>
  <si>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</si>
  <si>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</si>
  <si>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</si>
  <si>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</si>
  <si>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</si>
  <si>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</si>
  <si>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</si>
  <si>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</si>
  <si>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</si>
  <si>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</si>
  <si>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</si>
  <si>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</si>
  <si>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</si>
  <si>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</si>
  <si>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</si>
  <si>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</si>
  <si>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</si>
  <si>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</si>
  <si>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</si>
  <si>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</si>
  <si>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</si>
  <si>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</si>
  <si>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</si>
  <si>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</si>
  <si>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</si>
  <si>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</si>
  <si>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</si>
  <si>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</si>
  <si>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</si>
  <si>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</si>
  <si>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</si>
  <si>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</si>
  <si>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</si>
  <si>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</si>
  <si>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</si>
  <si>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</si>
  <si>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</si>
  <si>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</si>
  <si>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</si>
  <si>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</si>
  <si>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</si>
  <si>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</si>
  <si>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</si>
  <si>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</si>
  <si>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</si>
  <si>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</si>
  <si>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</si>
  <si>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</si>
  <si>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</si>
  <si>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</si>
  <si>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</si>
  <si>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</si>
  <si>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</si>
  <si>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</si>
  <si>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</si>
  <si>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</si>
  <si>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</si>
  <si>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</si>
  <si>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</si>
  <si>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</si>
  <si>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</si>
  <si>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</si>
  <si>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</si>
  <si>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</si>
  <si>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</si>
  <si>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</si>
  <si>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</si>
  <si>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</si>
  <si>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</si>
  <si>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</si>
  <si>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</si>
  <si>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</si>
  <si>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</si>
  <si>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</si>
  <si>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</si>
  <si>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</si>
  <si>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</si>
  <si>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</si>
  <si>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</si>
  <si>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</si>
  <si>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</si>
  <si>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</si>
  <si>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</si>
  <si>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</si>
  <si>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</si>
  <si>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</si>
  <si>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</si>
  <si>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</si>
  <si>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</si>
  <si>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</si>
  <si>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</si>
  <si>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</si>
  <si>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</si>
  <si>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</si>
  <si>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</si>
  <si>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</si>
  <si>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</si>
  <si>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</si>
  <si>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</si>
  <si>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</si>
  <si>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</si>
  <si>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</si>
  <si>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</si>
  <si>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</si>
  <si>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</si>
  <si>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</si>
  <si>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</si>
  <si>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</si>
  <si>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</si>
  <si>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</si>
  <si>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</si>
  <si>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</si>
  <si>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</si>
  <si>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</si>
  <si>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</si>
  <si>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</si>
  <si>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</si>
  <si>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</si>
  <si>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</si>
  <si>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</si>
  <si>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</si>
  <si>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</si>
  <si>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</si>
  <si>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</si>
  <si>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</si>
  <si>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</si>
  <si>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</si>
  <si>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</si>
  <si>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</si>
  <si>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</si>
  <si>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</si>
  <si>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</si>
  <si>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</si>
  <si>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</si>
  <si>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</si>
  <si>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</si>
  <si>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</si>
  <si>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</si>
  <si>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</si>
  <si>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</si>
  <si>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</si>
  <si>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</si>
  <si>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</si>
  <si>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</si>
  <si>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</si>
  <si>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</si>
  <si>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</si>
  <si>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</si>
  <si>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</si>
  <si>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</si>
  <si>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</si>
  <si>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</si>
  <si>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</si>
  <si>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</si>
  <si>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</si>
  <si>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</si>
  <si>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</si>
  <si>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</si>
  <si>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</si>
  <si>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</si>
  <si>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</si>
  <si>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</si>
  <si>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</si>
  <si>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</si>
  <si>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</si>
  <si>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</si>
  <si>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</si>
  <si>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</si>
  <si>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</si>
  <si>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</si>
  <si>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</si>
  <si>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</si>
  <si>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</si>
  <si>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</si>
  <si>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</si>
  <si>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</si>
  <si>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</si>
  <si>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</si>
  <si>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</si>
  <si>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</si>
  <si>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</si>
  <si>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</si>
  <si>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</si>
  <si>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</si>
  <si>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</si>
  <si>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</si>
  <si>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</si>
  <si>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</si>
  <si>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</si>
  <si>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</si>
  <si>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</si>
  <si>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</si>
  <si>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</si>
  <si>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</si>
  <si>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</si>
  <si>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</si>
  <si>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</si>
  <si>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</si>
  <si>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</si>
  <si>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</si>
  <si>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</si>
  <si>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</si>
  <si>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</si>
  <si>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</si>
  <si>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</si>
  <si>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</si>
  <si>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</si>
  <si>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</si>
  <si>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</si>
  <si>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</si>
  <si>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</si>
  <si>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</si>
  <si>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</si>
  <si>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</si>
  <si>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</si>
  <si>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</si>
  <si>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</si>
  <si>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</si>
  <si>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</si>
  <si>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</si>
  <si>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</si>
  <si>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</si>
  <si>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</si>
  <si>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</si>
  <si>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</si>
  <si>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</si>
  <si>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</si>
  <si>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</si>
  <si>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</si>
  <si>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</si>
  <si>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</si>
  <si>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</si>
  <si>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</si>
  <si>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</si>
  <si>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</si>
  <si>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</si>
  <si>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</si>
  <si>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</si>
  <si>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</si>
  <si>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</si>
  <si>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</si>
  <si>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</si>
  <si>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</si>
  <si>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</si>
  <si>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</si>
  <si>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</si>
  <si>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</si>
  <si>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</si>
  <si>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</si>
  <si>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</si>
  <si>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</si>
  <si>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</si>
  <si>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</si>
  <si>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</si>
  <si>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</si>
  <si>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</si>
  <si>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</si>
  <si>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</si>
  <si>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</si>
  <si>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</si>
  <si>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</si>
  <si>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</si>
  <si>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</si>
  <si>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</si>
  <si>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</si>
  <si>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</si>
  <si>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</si>
  <si>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</si>
  <si>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</si>
  <si>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</si>
  <si>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</si>
  <si>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</si>
  <si>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</si>
  <si>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</si>
  <si>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</si>
  <si>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</si>
  <si>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</si>
  <si>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</si>
  <si>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</si>
  <si>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</si>
  <si>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</si>
  <si>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</si>
  <si>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</si>
  <si>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</si>
  <si>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</si>
  <si>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</si>
  <si>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</si>
  <si>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</si>
  <si>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</si>
  <si>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</si>
  <si>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</si>
  <si>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</si>
  <si>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</si>
  <si>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</si>
  <si>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</si>
  <si>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</si>
  <si>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</si>
  <si>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</si>
  <si>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</si>
  <si>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</si>
  <si>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</si>
  <si>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</si>
  <si>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</si>
  <si>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</si>
  <si>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</si>
  <si>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</si>
  <si>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</si>
  <si>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</si>
  <si>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</si>
  <si>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</si>
  <si>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</si>
  <si>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</si>
  <si>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</si>
  <si>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</si>
  <si>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</si>
  <si>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</si>
  <si>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</si>
  <si>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</si>
  <si>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</si>
  <si>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</si>
  <si>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</si>
  <si>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</si>
  <si>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</si>
  <si>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</si>
  <si>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</si>
  <si>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</si>
  <si>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</si>
  <si>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</si>
  <si>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</si>
  <si>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</si>
  <si>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</si>
  <si>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</si>
  <si>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</si>
  <si>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</si>
  <si>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</si>
  <si>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</si>
  <si>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</si>
  <si>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</si>
  <si>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</si>
  <si>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</si>
  <si>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</si>
  <si>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</si>
  <si>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</si>
  <si>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</si>
  <si>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</si>
  <si>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</si>
  <si>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</si>
  <si>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</si>
  <si>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</si>
  <si>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</si>
  <si>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</si>
  <si>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</si>
  <si>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</si>
  <si>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</si>
  <si>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</si>
  <si>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</si>
  <si>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</si>
  <si>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</si>
  <si>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</si>
  <si>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</si>
  <si>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</si>
  <si>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</si>
  <si>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</si>
  <si>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</si>
  <si>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</si>
  <si>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</si>
  <si>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</si>
  <si>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</si>
  <si>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</si>
  <si>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</si>
  <si>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</si>
  <si>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</si>
  <si>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</si>
  <si>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</si>
  <si>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</si>
  <si>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</si>
  <si>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</si>
  <si>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</si>
  <si>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</si>
  <si>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</si>
  <si>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</si>
  <si>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</si>
  <si>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</si>
  <si>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</si>
  <si>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</si>
  <si>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</si>
  <si>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</si>
  <si>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</si>
  <si>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</si>
  <si>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</si>
  <si>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</si>
  <si>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</si>
  <si>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</si>
  <si>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</si>
  <si>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</si>
  <si>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</si>
  <si>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</si>
  <si>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</si>
  <si>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</si>
  <si>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</si>
  <si>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</si>
  <si>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</si>
  <si>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</si>
  <si>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</si>
  <si>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</si>
  <si>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</si>
  <si>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</si>
  <si>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</si>
  <si>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</si>
  <si>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</si>
  <si>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</si>
  <si>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</si>
  <si>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</si>
  <si>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</si>
  <si>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</si>
  <si>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</si>
  <si>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</si>
  <si>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</si>
  <si>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</si>
  <si>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</si>
  <si>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</si>
  <si>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</si>
  <si>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</si>
  <si>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</si>
  <si>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</si>
  <si>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</si>
  <si>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</si>
  <si>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</si>
  <si>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</si>
  <si>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</si>
  <si>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</si>
  <si>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</si>
  <si>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</si>
  <si>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</si>
  <si>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</si>
  <si>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</si>
  <si>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</si>
  <si>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</si>
  <si>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</si>
  <si>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</si>
  <si>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</si>
  <si>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</si>
  <si>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</si>
  <si>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</si>
  <si>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</si>
  <si>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</si>
  <si>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</si>
  <si>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</si>
  <si>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</si>
  <si>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</si>
  <si>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</si>
  <si>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</si>
  <si>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</si>
  <si>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</si>
  <si>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</si>
  <si>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</si>
  <si>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</si>
  <si>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</si>
  <si>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</si>
  <si>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</si>
  <si>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</si>
  <si>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</si>
  <si>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</si>
  <si>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</si>
  <si>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</si>
  <si>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</si>
  <si>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</si>
  <si>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</si>
  <si>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</si>
  <si>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</si>
  <si>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</si>
  <si>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</si>
  <si>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</si>
  <si>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</si>
  <si>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</si>
  <si>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</si>
  <si>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</si>
  <si>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</si>
  <si>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</si>
  <si>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</si>
  <si>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</si>
  <si>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</si>
  <si>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</si>
  <si>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</si>
  <si>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</si>
  <si>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</si>
  <si>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</si>
  <si>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</si>
  <si>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</si>
  <si>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</si>
  <si>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</si>
  <si>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</si>
  <si>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</si>
  <si>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</si>
  <si>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</si>
  <si>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</si>
  <si>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</si>
  <si>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</si>
  <si>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</si>
  <si>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</si>
  <si>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</si>
  <si>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</si>
  <si>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</si>
  <si>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</si>
  <si>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</si>
  <si>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</si>
  <si>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</si>
  <si>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</si>
  <si>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</si>
  <si>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</si>
  <si>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</si>
  <si>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</si>
  <si>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</si>
  <si>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</si>
  <si>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</si>
  <si>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</si>
  <si>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</si>
  <si>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</si>
  <si>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</si>
  <si>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</si>
  <si>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</si>
  <si>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</si>
  <si>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</si>
  <si>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</si>
  <si>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</si>
  <si>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</si>
  <si>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</si>
  <si>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</si>
  <si>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</si>
  <si>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</si>
  <si>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</si>
  <si>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</si>
  <si>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</si>
  <si>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</si>
  <si>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</si>
  <si>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</si>
  <si>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</si>
  <si>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</si>
  <si>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</si>
  <si>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</si>
  <si>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</si>
  <si>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</si>
  <si>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</si>
  <si>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</si>
  <si>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</si>
  <si>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</si>
  <si>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</si>
  <si>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</si>
  <si>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</si>
  <si>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</si>
  <si>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</si>
  <si>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</si>
  <si>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</si>
  <si>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</si>
  <si>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</si>
  <si>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</si>
  <si>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</si>
  <si>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</si>
  <si>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</si>
  <si>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</si>
  <si>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</si>
  <si>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</si>
  <si>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</si>
  <si>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</si>
  <si>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</si>
  <si>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</si>
  <si>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</si>
  <si>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</si>
  <si>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</si>
  <si>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</si>
  <si>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</si>
  <si>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</si>
  <si>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</si>
  <si>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</si>
  <si>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</si>
  <si>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</si>
  <si>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</si>
  <si>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</si>
  <si>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</si>
  <si>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</si>
  <si>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</si>
  <si>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</si>
  <si>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</si>
  <si>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</si>
  <si>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</si>
  <si>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</si>
  <si>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</si>
  <si>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</si>
  <si>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</si>
  <si>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</si>
  <si>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</si>
  <si>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</si>
  <si>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</si>
  <si>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</si>
  <si>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</si>
  <si>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</si>
  <si>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</si>
  <si>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</si>
  <si>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</si>
  <si>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</si>
  <si>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</si>
  <si>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</si>
  <si>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</si>
  <si>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</si>
  <si>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</si>
  <si>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</si>
  <si>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</si>
  <si>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</si>
  <si>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</si>
  <si>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</si>
  <si>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</si>
  <si>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</si>
  <si>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</si>
  <si>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</si>
  <si>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</si>
  <si>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</si>
  <si>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</si>
  <si>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</si>
  <si>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</si>
  <si>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</si>
  <si>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</si>
  <si>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</si>
  <si>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</si>
  <si>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</si>
  <si>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</si>
  <si>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</si>
  <si>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</si>
  <si>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</si>
  <si>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</si>
  <si>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</si>
  <si>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</si>
  <si>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</si>
  <si>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</si>
  <si>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</si>
  <si>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</si>
  <si>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</si>
  <si>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</si>
  <si>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</si>
  <si>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</si>
  <si>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</si>
  <si>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</si>
  <si>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</si>
  <si>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</si>
  <si>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</si>
  <si>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</si>
  <si>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</si>
  <si>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</si>
  <si>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</si>
  <si>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</si>
  <si>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</si>
  <si>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</si>
  <si>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</si>
  <si>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</si>
  <si>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</si>
  <si>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</si>
  <si>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</si>
  <si>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</si>
  <si>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</si>
  <si>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</si>
  <si>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</si>
  <si>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</si>
  <si>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</si>
  <si>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</si>
  <si>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</si>
  <si>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</si>
  <si>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</si>
  <si>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</si>
  <si>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</si>
  <si>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</si>
  <si>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</si>
  <si>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</si>
  <si>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</si>
  <si>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</si>
  <si>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</si>
  <si>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</si>
  <si>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</si>
  <si>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</si>
  <si>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</si>
  <si>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</si>
  <si>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</si>
  <si>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</si>
  <si>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</si>
  <si>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</si>
  <si>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</si>
  <si>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</si>
  <si>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</si>
  <si>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</si>
  <si>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</si>
  <si>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</si>
  <si>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</si>
  <si>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</si>
  <si>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</si>
  <si>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</si>
  <si>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</si>
  <si>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</si>
  <si>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</si>
  <si>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</si>
  <si>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</si>
  <si>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</si>
  <si>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</si>
  <si>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</si>
  <si>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</si>
  <si>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</si>
  <si>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</si>
  <si>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</si>
  <si>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</si>
  <si>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</si>
  <si>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</si>
  <si>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</si>
  <si>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</si>
  <si>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</si>
  <si>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</si>
  <si>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</si>
  <si>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</si>
  <si>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</si>
  <si>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</si>
  <si>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</si>
  <si>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</si>
  <si>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</si>
  <si>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</si>
  <si>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</si>
  <si>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</si>
  <si>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</si>
  <si>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</si>
  <si>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</si>
  <si>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</si>
  <si>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</si>
  <si>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</si>
  <si>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</si>
  <si>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</si>
  <si>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</si>
  <si>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</si>
  <si>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</si>
  <si>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</si>
  <si>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</si>
  <si>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</si>
  <si>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</si>
  <si>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</si>
  <si>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</si>
  <si>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</si>
  <si>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</si>
  <si>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</si>
  <si>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</si>
  <si>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</si>
  <si>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</si>
  <si>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</si>
  <si>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</si>
  <si>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</si>
  <si>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</si>
  <si>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</si>
  <si>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</si>
  <si>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</si>
  <si>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</si>
  <si>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</si>
  <si>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</si>
  <si>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</si>
  <si>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</si>
  <si>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</si>
  <si>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</si>
  <si>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</si>
  <si>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</si>
  <si>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</si>
  <si>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</si>
  <si>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</si>
  <si>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</si>
  <si>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</si>
  <si>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</si>
  <si>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</si>
  <si>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</si>
  <si>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</si>
  <si>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</si>
  <si>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</si>
  <si>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</si>
  <si>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</si>
  <si>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</si>
  <si>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</si>
  <si>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</si>
  <si>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</si>
  <si>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</si>
  <si>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</si>
  <si>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</si>
  <si>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</si>
  <si>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</si>
  <si>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</si>
  <si>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</si>
  <si>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</si>
  <si>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</si>
  <si>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</si>
  <si>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</si>
  <si>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</si>
  <si>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</si>
  <si>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</si>
  <si>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</si>
  <si>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</si>
  <si>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</si>
  <si>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</si>
  <si>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</si>
  <si>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</si>
  <si>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</si>
  <si>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</si>
  <si>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</si>
  <si>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</si>
  <si>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</si>
  <si>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</si>
  <si>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</si>
  <si>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</si>
  <si>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</si>
  <si>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</si>
  <si>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</si>
  <si>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</si>
  <si>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</si>
  <si>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</si>
  <si>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</si>
  <si>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</si>
  <si>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</si>
  <si>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</si>
  <si>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</si>
  <si>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</si>
  <si>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</si>
  <si>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</si>
  <si>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</si>
  <si>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</si>
  <si>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</si>
  <si>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</si>
  <si>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</si>
  <si>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</si>
  <si>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</si>
  <si>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</si>
  <si>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</si>
  <si>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</si>
  <si>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</si>
  <si>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</si>
  <si>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</si>
  <si>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</si>
  <si>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</si>
  <si>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</si>
  <si>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</si>
  <si>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</si>
  <si>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</si>
  <si>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</si>
  <si>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</si>
  <si>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</si>
  <si>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</si>
  <si>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</si>
  <si>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</si>
  <si>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</si>
  <si>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</si>
  <si>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</si>
  <si>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</si>
  <si>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</si>
  <si>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</si>
  <si>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</si>
  <si>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</si>
  <si>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</si>
  <si>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</si>
  <si>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</si>
  <si>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</si>
  <si>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</si>
  <si>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</si>
  <si>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</si>
  <si>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</si>
  <si>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</si>
  <si>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</si>
  <si>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</si>
  <si>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</si>
  <si>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</si>
  <si>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</si>
  <si>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</si>
  <si>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</si>
  <si>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</si>
  <si>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</si>
  <si>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</si>
  <si>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</si>
  <si>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</si>
  <si>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</si>
  <si>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</si>
  <si>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</si>
  <si>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</si>
  <si>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</si>
  <si>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</si>
  <si>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</si>
  <si>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</si>
  <si>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</si>
  <si>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</si>
  <si>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</si>
  <si>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</si>
  <si>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</si>
  <si>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</si>
  <si>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</si>
  <si>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</si>
  <si>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</si>
  <si>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</si>
  <si>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</si>
  <si>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</si>
  <si>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</si>
  <si>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</si>
  <si>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</si>
  <si>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</si>
  <si>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</si>
  <si>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</si>
  <si>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</si>
  <si>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</si>
  <si>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</si>
  <si>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</si>
  <si>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</si>
  <si>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</si>
  <si>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</si>
  <si>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</si>
  <si>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</si>
  <si>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</si>
  <si>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</si>
  <si>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</si>
  <si>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</si>
  <si>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</si>
  <si>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</si>
  <si>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</si>
  <si>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</si>
  <si>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</si>
  <si>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</si>
  <si>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</si>
  <si>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</si>
  <si>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</si>
  <si>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</si>
  <si>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</si>
  <si>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</si>
  <si>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</si>
  <si>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</si>
  <si>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</si>
  <si>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</si>
  <si>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</si>
  <si>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</si>
  <si>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</si>
  <si>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</si>
  <si>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</si>
  <si>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</si>
  <si>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</si>
  <si>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</si>
  <si>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</si>
  <si>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</si>
  <si>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</si>
  <si>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</si>
  <si>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</si>
  <si>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</si>
  <si>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</si>
  <si>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</si>
  <si>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</si>
  <si>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</si>
  <si>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</si>
  <si>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</si>
  <si>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</si>
  <si>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</si>
  <si>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</si>
  <si>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</si>
  <si>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</si>
  <si>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</si>
  <si>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</si>
  <si>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</si>
  <si>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</si>
  <si>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</si>
  <si>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</si>
  <si>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</si>
  <si>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</si>
  <si>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</si>
  <si>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</si>
  <si>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</si>
  <si>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</si>
  <si>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</si>
  <si>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</si>
  <si>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</si>
  <si>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</si>
  <si>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</si>
  <si>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</si>
  <si>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</si>
  <si>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</si>
  <si>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</si>
  <si>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</si>
  <si>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</si>
  <si>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</si>
  <si>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</si>
  <si>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</si>
  <si>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</si>
  <si>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</si>
  <si>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</si>
  <si>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</si>
  <si>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</si>
  <si>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</si>
  <si>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</si>
  <si>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</si>
  <si>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</si>
  <si>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</si>
  <si>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</si>
  <si>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</si>
  <si>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</si>
  <si>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</si>
  <si>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</si>
  <si>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</si>
  <si>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</si>
  <si>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</si>
  <si>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</si>
  <si>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</si>
  <si>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</si>
  <si>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</si>
  <si>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</si>
  <si>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</si>
  <si>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</si>
  <si>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</si>
  <si>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</si>
  <si>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</si>
  <si>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</si>
  <si>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</si>
  <si>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</si>
  <si>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</si>
  <si>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</si>
  <si>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</si>
  <si>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</si>
  <si>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</si>
  <si>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</si>
  <si>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</si>
  <si>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</si>
  <si>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</si>
  <si>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</si>
  <si>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</si>
  <si>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</si>
  <si>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</si>
  <si>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</si>
  <si>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</si>
  <si>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</si>
  <si>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</si>
  <si>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</si>
  <si>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</si>
  <si>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</si>
  <si>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</si>
  <si>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</si>
  <si>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</si>
  <si>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</si>
  <si>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</si>
  <si>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</si>
  <si>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</si>
  <si>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</si>
  <si>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</si>
  <si>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</si>
  <si>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</si>
  <si>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</si>
  <si>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</si>
  <si>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</si>
  <si>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</si>
  <si>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</si>
  <si>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</si>
  <si>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</si>
  <si>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</si>
  <si>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</si>
  <si>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</si>
  <si>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</si>
  <si>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</si>
  <si>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</si>
  <si>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</si>
  <si>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</si>
  <si>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</si>
  <si>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</si>
  <si>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</si>
  <si>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</si>
  <si>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</si>
  <si>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</si>
  <si>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</si>
  <si>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</si>
  <si>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</si>
  <si>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</si>
  <si>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</si>
  <si>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</si>
  <si>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</si>
  <si>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</si>
  <si>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</si>
  <si>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</si>
  <si>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</si>
  <si>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</si>
  <si>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</si>
  <si>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</si>
  <si>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</si>
  <si>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</si>
  <si>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</si>
  <si>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</si>
  <si>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</si>
  <si>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</si>
  <si>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</si>
  <si>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</si>
  <si>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</si>
  <si>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</si>
  <si>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</si>
  <si>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</si>
  <si>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</si>
  <si>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</si>
  <si>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</si>
  <si>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</si>
  <si>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</si>
  <si>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</si>
  <si>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</si>
  <si>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</si>
  <si>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</si>
  <si>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</si>
  <si>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</si>
  <si>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</si>
  <si>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</si>
  <si>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</si>
  <si>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</si>
  <si>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</si>
  <si>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</si>
  <si>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</si>
  <si>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</si>
  <si>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</si>
  <si>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</si>
  <si>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</si>
  <si>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</si>
  <si>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</si>
  <si>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</si>
  <si>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</si>
  <si>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</si>
  <si>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</si>
  <si>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</si>
  <si>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</si>
  <si>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</si>
  <si>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</si>
  <si>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</si>
  <si>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</si>
  <si>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</si>
  <si>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</si>
  <si>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</si>
  <si>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</si>
  <si>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</si>
  <si>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</si>
  <si>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</si>
  <si>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</si>
  <si>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</si>
  <si>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</si>
  <si>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</si>
  <si>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</si>
  <si>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</si>
  <si>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</si>
  <si>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</si>
  <si>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</si>
  <si>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</si>
  <si>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</si>
  <si>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</si>
  <si>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</si>
  <si>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</si>
  <si>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</si>
  <si>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</si>
  <si>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</si>
  <si>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</si>
  <si>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</si>
  <si>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</si>
  <si>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</si>
  <si>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</si>
  <si>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</si>
  <si>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</si>
  <si>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</si>
  <si>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</si>
  <si>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</si>
  <si>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</si>
  <si>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</si>
  <si>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</si>
  <si>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</si>
  <si>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</si>
  <si>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</si>
  <si>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</si>
  <si>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</si>
  <si>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</si>
  <si>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</si>
  <si>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</si>
  <si>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</si>
  <si>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</si>
  <si>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</si>
  <si>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</si>
  <si>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</si>
  <si>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</si>
  <si>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</si>
  <si>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</si>
  <si>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</si>
  <si>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</si>
  <si>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</si>
  <si>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</si>
  <si>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</si>
  <si>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</si>
  <si>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</si>
  <si>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</si>
  <si>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</si>
  <si>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</si>
  <si>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</si>
  <si>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</si>
  <si>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</si>
  <si>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</si>
  <si>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</si>
  <si>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</si>
  <si>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</si>
  <si>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</si>
  <si>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</si>
  <si>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</si>
  <si>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</si>
  <si>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</si>
  <si>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</si>
  <si>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</si>
  <si>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</si>
  <si>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</si>
  <si>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</si>
  <si>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</si>
  <si>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</si>
  <si>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</si>
  <si>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</si>
  <si>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</si>
  <si>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</si>
  <si>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</si>
  <si>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</si>
  <si>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</si>
  <si>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</si>
  <si>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</si>
  <si>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</si>
  <si>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</si>
  <si>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</si>
  <si>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</si>
  <si>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</si>
  <si>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</si>
  <si>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</si>
  <si>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</si>
  <si>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</si>
  <si>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</si>
  <si>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</si>
  <si>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</si>
  <si>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</si>
  <si>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</si>
  <si>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</si>
  <si>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</si>
  <si>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</si>
  <si>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</si>
  <si>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</si>
  <si>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</si>
  <si>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</si>
  <si>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</si>
  <si>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</si>
  <si>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</si>
  <si>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</si>
  <si>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</si>
  <si>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</si>
  <si>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</si>
  <si>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</si>
  <si>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</si>
  <si>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</si>
  <si>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</si>
  <si>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</si>
  <si>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</si>
  <si>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</si>
  <si>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</si>
  <si>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</si>
  <si>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</si>
  <si>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</si>
  <si>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</si>
  <si>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</si>
  <si>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</si>
  <si>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</si>
  <si>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</si>
  <si>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</si>
  <si>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</si>
  <si>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</si>
  <si>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</si>
  <si>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</si>
  <si>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</si>
  <si>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</si>
  <si>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</si>
  <si>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</si>
  <si>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</si>
  <si>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</si>
  <si>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</si>
  <si>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</si>
  <si>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</si>
  <si>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</si>
  <si>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</si>
  <si>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</si>
  <si>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</si>
  <si>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</si>
  <si>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</si>
  <si>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</si>
  <si>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</si>
  <si>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</si>
  <si>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</si>
  <si>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</si>
  <si>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</si>
  <si>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</si>
  <si>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</si>
  <si>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</si>
  <si>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</si>
  <si>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</si>
  <si>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</si>
  <si>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</si>
  <si>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</si>
  <si>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</si>
  <si>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</si>
  <si>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</si>
  <si>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</si>
  <si>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</si>
  <si>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</si>
  <si>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</si>
  <si>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</si>
  <si>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</si>
  <si>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</si>
  <si>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</si>
  <si>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</si>
  <si>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</si>
  <si>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</si>
  <si>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</si>
  <si>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</si>
  <si>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</si>
  <si>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</si>
  <si>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</si>
  <si>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</si>
  <si>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</si>
  <si>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</si>
  <si>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</si>
  <si>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</si>
  <si>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</si>
  <si>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</si>
  <si>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</si>
  <si>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</si>
  <si>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</si>
  <si>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</si>
  <si>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</si>
  <si>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</si>
  <si>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</si>
  <si>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</si>
  <si>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</si>
  <si>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</si>
  <si>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</si>
  <si>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</si>
  <si>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</si>
  <si>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</si>
  <si>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</si>
  <si>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</si>
  <si>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</si>
  <si>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</si>
  <si>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</si>
  <si>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</si>
  <si>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</si>
  <si>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</si>
  <si>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</si>
  <si>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</si>
  <si>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</si>
  <si>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</si>
  <si>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</si>
  <si>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</si>
  <si>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</si>
  <si>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</si>
  <si>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</si>
  <si>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</si>
  <si>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</si>
  <si>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</si>
  <si>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</si>
  <si>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</si>
  <si>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</si>
  <si>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</si>
  <si>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</si>
  <si>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</si>
  <si>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</si>
  <si>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</si>
  <si>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</si>
  <si>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</si>
  <si>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</si>
  <si>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</si>
  <si>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</si>
  <si>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</si>
  <si>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</si>
  <si>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</si>
  <si>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</si>
  <si>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</si>
  <si>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</si>
  <si>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</si>
  <si>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</si>
  <si>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</si>
  <si>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</si>
  <si>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</si>
  <si>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</si>
  <si>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</si>
  <si>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</si>
  <si>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</si>
  <si>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</si>
  <si>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</si>
  <si>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</si>
  <si>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</si>
  <si>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</si>
  <si>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</si>
  <si>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</si>
  <si>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</si>
  <si>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</si>
  <si>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</si>
  <si>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</si>
  <si>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</si>
  <si>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</si>
  <si>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</si>
  <si>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</si>
  <si>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</si>
  <si>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</si>
  <si>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</si>
  <si>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</si>
  <si>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</si>
  <si>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</si>
  <si>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</si>
  <si>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</si>
  <si>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</si>
  <si>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</si>
  <si>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</si>
  <si>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</si>
  <si>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</si>
  <si>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</si>
  <si>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</si>
  <si>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</si>
  <si>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</si>
  <si>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</si>
  <si>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</si>
  <si>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</si>
  <si>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</si>
  <si>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</si>
  <si>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</si>
  <si>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</si>
  <si>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</si>
  <si>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</si>
  <si>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</si>
  <si>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</si>
  <si>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</si>
  <si>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</si>
  <si>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</si>
  <si>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</si>
  <si>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</si>
  <si>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</si>
  <si>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</si>
  <si>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</si>
  <si>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</si>
  <si>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</si>
  <si>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</si>
  <si>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</si>
  <si>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</si>
  <si>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</si>
  <si>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</si>
  <si>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</si>
  <si>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</si>
  <si>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</si>
  <si>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</si>
  <si>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</si>
  <si>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</si>
  <si>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</si>
  <si>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</si>
  <si>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</si>
  <si>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</si>
  <si>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</si>
  <si>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</si>
  <si>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</si>
  <si>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</si>
  <si>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</si>
  <si>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</si>
  <si>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</si>
  <si>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</si>
  <si>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</si>
  <si>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</si>
  <si>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</si>
  <si>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</si>
  <si>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</si>
  <si>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</si>
  <si>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</si>
  <si>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</si>
  <si>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</si>
  <si>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</si>
  <si>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</si>
  <si>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</si>
  <si>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</si>
  <si>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</si>
  <si>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</si>
  <si>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</si>
  <si>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</si>
  <si>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</si>
  <si>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</si>
  <si>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</si>
  <si>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</si>
  <si>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</si>
  <si>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</si>
  <si>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</si>
  <si>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</si>
  <si>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</si>
  <si>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</si>
  <si>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</si>
  <si>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</si>
  <si>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</si>
  <si>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</si>
  <si>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</si>
  <si>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</si>
  <si>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</si>
  <si>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</si>
  <si>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</si>
  <si>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</si>
  <si>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</si>
  <si>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</si>
  <si>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</si>
  <si>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</si>
  <si>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</si>
  <si>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</si>
  <si>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</si>
  <si>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</si>
  <si>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</si>
  <si>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</si>
  <si>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</si>
  <si>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</si>
  <si>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</si>
  <si>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</si>
  <si>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</si>
  <si>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</si>
  <si>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</si>
  <si>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</si>
  <si>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</si>
  <si>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</si>
  <si>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</si>
  <si>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</si>
  <si>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</si>
  <si>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</si>
  <si>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</si>
  <si>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</si>
  <si>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</si>
  <si>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</si>
  <si>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</si>
  <si>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</si>
  <si>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</si>
  <si>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</si>
  <si>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</si>
  <si>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</si>
  <si>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</si>
  <si>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</si>
  <si>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</si>
  <si>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</si>
  <si>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</si>
  <si>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</si>
  <si>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</si>
  <si>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</si>
  <si>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</si>
  <si>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</si>
  <si>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</si>
  <si>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</si>
  <si>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</si>
  <si>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</si>
  <si>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</si>
  <si>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</si>
  <si>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</si>
  <si>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</si>
  <si>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</si>
  <si>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</si>
  <si>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</si>
  <si>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</si>
  <si>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</si>
  <si>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</si>
  <si>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</si>
  <si>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</si>
  <si>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</si>
  <si>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</si>
  <si>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</si>
  <si>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</si>
  <si>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</si>
  <si>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</si>
  <si>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</si>
  <si>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</si>
  <si>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</si>
  <si>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</si>
  <si>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</si>
  <si>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</si>
  <si>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</si>
  <si>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</si>
  <si>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</si>
  <si>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</si>
  <si>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</si>
  <si>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</si>
  <si>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</si>
  <si>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</si>
  <si>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</si>
  <si>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</si>
  <si>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</si>
  <si>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</si>
  <si>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</si>
  <si>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</si>
  <si>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</si>
  <si>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</si>
  <si>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</si>
  <si>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</si>
  <si>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</si>
  <si>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</si>
  <si>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</si>
  <si>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</si>
  <si>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</si>
  <si>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</si>
  <si>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</si>
  <si>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</si>
  <si>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</si>
  <si>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</si>
  <si>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</si>
  <si>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</si>
  <si>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</si>
  <si>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</si>
  <si>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</si>
  <si>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</si>
  <si>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</si>
  <si>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</si>
  <si>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</si>
  <si>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</si>
  <si>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</si>
  <si>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</si>
  <si>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</si>
  <si>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</si>
  <si>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</si>
  <si>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</si>
  <si>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</si>
  <si>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</si>
  <si>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</si>
  <si>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</si>
  <si>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</si>
  <si>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</si>
  <si>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</si>
  <si>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</si>
  <si>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</si>
  <si>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</si>
  <si>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</si>
  <si>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</si>
  <si>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</si>
  <si>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</si>
  <si>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</si>
  <si>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</si>
  <si>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</si>
  <si>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</si>
  <si>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</si>
  <si>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</si>
  <si>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</si>
  <si>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</si>
  <si>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</si>
  <si>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</si>
  <si>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</si>
  <si>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</si>
  <si>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</si>
  <si>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</si>
  <si>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</si>
  <si>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</si>
  <si>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</si>
  <si>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</si>
  <si>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</si>
  <si>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</si>
  <si>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</si>
  <si>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</si>
  <si>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</si>
  <si>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</si>
  <si>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</si>
  <si>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</si>
  <si>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</si>
  <si>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</si>
  <si>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</si>
  <si>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</si>
  <si>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</si>
  <si>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</si>
  <si>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</si>
  <si>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</si>
  <si>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</si>
  <si>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</si>
  <si>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</si>
  <si>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</si>
  <si>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</si>
  <si>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</si>
  <si>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</si>
  <si>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</si>
  <si>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</si>
  <si>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</si>
  <si>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</si>
  <si>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</si>
  <si>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</si>
  <si>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</si>
  <si>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</si>
  <si>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</si>
  <si>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</si>
  <si>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</si>
  <si>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</si>
  <si>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</si>
  <si>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</si>
  <si>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</si>
  <si>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</si>
  <si>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</si>
  <si>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</si>
  <si>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</si>
  <si>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</si>
  <si>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</si>
  <si>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</si>
  <si>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</si>
  <si>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</si>
  <si>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</si>
  <si>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</si>
  <si>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</si>
  <si>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</si>
  <si>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</si>
  <si>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</si>
  <si>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</si>
  <si>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</si>
  <si>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</si>
  <si>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</si>
  <si>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</si>
  <si>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</si>
  <si>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</si>
  <si>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</si>
  <si>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</si>
  <si>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</si>
  <si>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</si>
  <si>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</si>
  <si>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</si>
  <si>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</si>
  <si>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</si>
  <si>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</si>
  <si>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</si>
  <si>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</si>
  <si>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</si>
  <si>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</si>
  <si>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</si>
  <si>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</si>
  <si>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</si>
  <si>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</si>
  <si>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</si>
  <si>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</si>
  <si>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</si>
  <si>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</si>
  <si>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</si>
  <si>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</si>
  <si>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</si>
  <si>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</si>
  <si>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</si>
  <si>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</si>
  <si>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</si>
  <si>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</si>
  <si>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</si>
  <si>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</si>
  <si>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</si>
  <si>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</si>
  <si>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</si>
  <si>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</si>
  <si>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</si>
  <si>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</si>
  <si>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</si>
  <si>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</si>
  <si>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</si>
  <si>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</si>
  <si>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</si>
  <si>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</si>
  <si>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</si>
  <si>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</si>
  <si>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</si>
  <si>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</si>
  <si>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</si>
  <si>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</si>
  <si>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</si>
  <si>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</si>
  <si>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</si>
  <si>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</si>
  <si>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</si>
  <si>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</si>
  <si>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</si>
  <si>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</si>
  <si>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</si>
  <si>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</si>
  <si>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</si>
  <si>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</si>
  <si>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</si>
  <si>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</si>
  <si>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</si>
  <si>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</si>
  <si>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</si>
  <si>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</si>
  <si>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</si>
  <si>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</si>
  <si>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</si>
  <si>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</si>
  <si>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</si>
  <si>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</si>
  <si>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</si>
  <si>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</si>
  <si>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</si>
  <si>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</si>
  <si>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</si>
  <si>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</si>
  <si>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</si>
  <si>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</si>
  <si>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</si>
  <si>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</si>
  <si>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</si>
  <si>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</si>
  <si>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</si>
  <si>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</si>
  <si>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</si>
  <si>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</si>
  <si>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</si>
  <si>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</si>
  <si>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</si>
  <si>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</si>
  <si>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</si>
  <si>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</si>
  <si>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</si>
  <si>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</si>
  <si>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</si>
  <si>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</si>
  <si>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</si>
  <si>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</si>
  <si>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</si>
  <si>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</si>
  <si>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</si>
  <si>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</si>
  <si>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</si>
  <si>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</si>
  <si>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</si>
  <si>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</si>
  <si>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</si>
  <si>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</si>
  <si>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</si>
  <si>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</si>
  <si>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</si>
  <si>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</si>
  <si>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</si>
  <si>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</si>
  <si>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</si>
  <si>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</si>
  <si>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</si>
  <si>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</si>
  <si>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</si>
  <si>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</si>
  <si>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</si>
  <si>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</si>
  <si>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</si>
  <si>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</si>
  <si>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</si>
  <si>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</si>
  <si>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</si>
  <si>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</si>
  <si>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</si>
  <si>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</si>
  <si>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</si>
  <si>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</si>
  <si>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</si>
  <si>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</si>
  <si>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</si>
  <si>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</si>
  <si>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</si>
  <si>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</si>
  <si>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</si>
  <si>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</si>
  <si>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</si>
  <si>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</si>
  <si>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</si>
  <si>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</si>
  <si>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</si>
  <si>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</si>
  <si>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</si>
  <si>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</si>
  <si>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</si>
  <si>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</si>
  <si>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</si>
  <si>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</si>
  <si>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</si>
  <si>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</si>
  <si>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</si>
  <si>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</si>
  <si>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</si>
  <si>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</si>
  <si>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</si>
  <si>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</si>
  <si>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</si>
  <si>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</si>
  <si>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</si>
  <si>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</si>
  <si>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</si>
  <si>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</si>
  <si>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</si>
  <si>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</si>
  <si>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</si>
  <si>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</si>
  <si>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</si>
  <si>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</si>
  <si>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</si>
  <si>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</si>
  <si>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</si>
  <si>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</si>
  <si>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</si>
  <si>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</si>
  <si>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</si>
  <si>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</si>
  <si>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</si>
  <si>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</si>
  <si>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</si>
  <si>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</si>
  <si>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</si>
  <si>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</si>
  <si>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</si>
  <si>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</si>
  <si>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</si>
  <si>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</si>
  <si>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</si>
  <si>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</si>
  <si>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</si>
  <si>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</si>
  <si>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</si>
  <si>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</si>
  <si>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</si>
  <si>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</si>
  <si>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</si>
  <si>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</si>
  <si>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</si>
  <si>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</si>
  <si>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</si>
  <si>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</si>
  <si>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</si>
  <si>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</si>
  <si>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</si>
  <si>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</si>
  <si>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</si>
  <si>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</si>
  <si>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</si>
  <si>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</si>
  <si>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</si>
  <si>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</si>
  <si>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</si>
  <si>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</si>
  <si>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</si>
  <si>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</si>
  <si>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</si>
  <si>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</si>
  <si>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</si>
  <si>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</si>
  <si>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</si>
  <si>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</si>
  <si>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</si>
  <si>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</si>
  <si>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</si>
  <si>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</si>
  <si>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</si>
  <si>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</si>
  <si>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</si>
  <si>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</si>
  <si>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</si>
  <si>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</si>
  <si>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</si>
  <si>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</si>
  <si>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</si>
  <si>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</si>
  <si>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</si>
  <si>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</si>
  <si>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</si>
  <si>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</si>
  <si>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</si>
  <si>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</si>
  <si>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</si>
  <si>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</si>
  <si>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</si>
  <si>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</si>
  <si>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</si>
  <si>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</si>
  <si>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</si>
  <si>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</si>
  <si>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</si>
  <si>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</si>
  <si>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</si>
  <si>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</si>
  <si>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</si>
  <si>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</si>
  <si>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</si>
  <si>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</si>
  <si>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</si>
  <si>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</si>
  <si>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</si>
  <si>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</si>
  <si>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</si>
  <si>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</si>
  <si>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</si>
  <si>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</si>
  <si>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</si>
  <si>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</si>
  <si>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</si>
  <si>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</si>
  <si>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</si>
  <si>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</si>
  <si>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</si>
  <si>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</si>
  <si>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</si>
  <si>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</si>
  <si>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</si>
  <si>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</si>
  <si>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</si>
  <si>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</si>
  <si>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</si>
  <si>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</si>
  <si>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</si>
  <si>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</si>
  <si>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</si>
  <si>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</si>
  <si>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</si>
  <si>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</si>
  <si>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</si>
  <si>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</si>
  <si>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</si>
  <si>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</si>
  <si>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</si>
  <si>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</si>
  <si>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</si>
  <si>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</si>
  <si>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</si>
  <si>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</si>
  <si>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</si>
  <si>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</si>
  <si>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</si>
  <si>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</si>
  <si>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</si>
  <si>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</si>
  <si>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</si>
  <si>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</si>
  <si>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</si>
  <si>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</si>
  <si>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</si>
  <si>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</si>
  <si>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</si>
  <si>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</si>
  <si>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</si>
  <si>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</si>
  <si>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</si>
  <si>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</si>
  <si>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</si>
  <si>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</si>
  <si>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</si>
  <si>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</si>
  <si>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</si>
  <si>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</si>
  <si>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</si>
  <si>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</si>
  <si>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</si>
  <si>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</si>
  <si>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</si>
  <si>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</si>
  <si>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</si>
  <si>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</si>
  <si>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</si>
  <si>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</si>
  <si>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</si>
  <si>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</si>
  <si>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</si>
  <si>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</si>
  <si>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</si>
  <si>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</si>
  <si>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</si>
  <si>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</si>
  <si>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</si>
  <si>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</si>
  <si>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</si>
  <si>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</si>
  <si>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</si>
  <si>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</si>
  <si>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</si>
  <si>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</si>
  <si>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</si>
  <si>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</si>
  <si>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</si>
  <si>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</si>
  <si>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</si>
  <si>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</si>
  <si>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</si>
  <si>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</si>
  <si>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</si>
  <si>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</si>
  <si>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</si>
  <si>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</si>
  <si>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</si>
  <si>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</si>
  <si>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</si>
  <si>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</si>
  <si>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</si>
  <si>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</si>
  <si>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</si>
  <si>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</si>
  <si>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</si>
  <si>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</si>
  <si>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</si>
  <si>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</si>
  <si>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</si>
  <si>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</si>
  <si>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</si>
  <si>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</si>
  <si>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</si>
  <si>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</si>
  <si>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</si>
  <si>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</si>
  <si>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</si>
  <si>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</si>
  <si>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</si>
  <si>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</si>
  <si>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</si>
  <si>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</si>
  <si>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</si>
  <si>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</si>
  <si>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</si>
  <si>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</si>
  <si>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</si>
  <si>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</si>
  <si>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</si>
  <si>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</si>
  <si>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</si>
  <si>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</si>
  <si>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</si>
  <si>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</si>
  <si>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</si>
  <si>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</si>
  <si>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</si>
  <si>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</si>
  <si>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</si>
  <si>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</si>
  <si>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</si>
  <si>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</si>
  <si>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</si>
  <si>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</si>
  <si>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</si>
  <si>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</si>
  <si>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</si>
  <si>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</si>
  <si>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</si>
  <si>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</si>
  <si>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</si>
  <si>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</si>
  <si>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</si>
  <si>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</si>
  <si>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</si>
  <si>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</si>
  <si>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</si>
  <si>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</si>
  <si>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</si>
  <si>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</si>
  <si>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</si>
  <si>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</si>
  <si>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</si>
  <si>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</si>
  <si>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</si>
  <si>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</si>
  <si>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</si>
  <si>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</si>
  <si>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</si>
  <si>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</si>
  <si>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</si>
  <si>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</si>
  <si>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</si>
  <si>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</si>
  <si>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</si>
  <si>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</si>
  <si>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</si>
  <si>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</si>
  <si>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</si>
  <si>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</si>
  <si>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</si>
  <si>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</si>
  <si>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</si>
  <si>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</si>
  <si>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</si>
  <si>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</si>
  <si>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</si>
  <si>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</si>
  <si>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</si>
  <si>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</si>
  <si>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</si>
  <si>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</si>
  <si>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</si>
  <si>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</si>
  <si>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</si>
  <si>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</si>
  <si>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</si>
  <si>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</si>
  <si>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</si>
  <si>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</si>
  <si>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</si>
  <si>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</si>
  <si>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</si>
  <si>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</si>
  <si>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</si>
  <si>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</si>
  <si>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</si>
  <si>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</si>
  <si>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</si>
  <si>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</si>
  <si>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</si>
  <si>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</si>
  <si>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</si>
  <si>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</si>
  <si>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</si>
  <si>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</si>
  <si>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</si>
  <si>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</si>
  <si>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</si>
  <si>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</si>
  <si>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</si>
  <si>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</si>
  <si>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</si>
  <si>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</si>
  <si>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</si>
  <si>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</si>
  <si>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</si>
  <si>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</si>
  <si>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</si>
  <si>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</si>
  <si>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</si>
  <si>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</si>
  <si>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</si>
  <si>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</si>
  <si>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</si>
  <si>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</si>
  <si>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</si>
  <si>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</si>
  <si>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</si>
  <si>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</si>
  <si>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</si>
  <si>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</si>
  <si>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</si>
  <si>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</si>
  <si>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</si>
  <si>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</si>
  <si>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</si>
  <si>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</si>
  <si>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</si>
  <si>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</si>
  <si>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</si>
  <si>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</si>
  <si>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</si>
  <si>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</si>
  <si>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</si>
  <si>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</si>
  <si>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</si>
  <si>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</si>
  <si>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</si>
  <si>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</si>
  <si>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</si>
  <si>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</si>
  <si>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</si>
  <si>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</si>
  <si>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</si>
  <si>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</si>
  <si>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</si>
  <si>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</si>
  <si>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</si>
  <si>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</si>
  <si>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</si>
  <si>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</si>
  <si>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</si>
  <si>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</si>
  <si>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</si>
  <si>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</si>
  <si>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</si>
  <si>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</si>
  <si>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</si>
  <si>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</si>
  <si>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</si>
  <si>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</si>
  <si>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</si>
  <si>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</si>
  <si>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</si>
  <si>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</si>
  <si>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</si>
  <si>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</si>
  <si>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</si>
  <si>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</si>
  <si>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</si>
  <si>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</si>
  <si>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</si>
  <si>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</si>
  <si>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</si>
  <si>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</si>
  <si>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</si>
  <si>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</si>
  <si>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</si>
  <si>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</si>
  <si>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</si>
  <si>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</si>
  <si>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</si>
  <si>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</si>
  <si>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</si>
  <si>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</si>
  <si>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</si>
  <si>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</si>
  <si>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</si>
  <si>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</si>
  <si>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</si>
  <si>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</si>
  <si>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</si>
  <si>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</si>
  <si>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</si>
  <si>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</si>
  <si>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</si>
  <si>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</si>
  <si>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</si>
  <si>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</si>
  <si>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</si>
  <si>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</si>
  <si>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</si>
  <si>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</si>
  <si>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</si>
  <si>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</si>
  <si>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</si>
  <si>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</si>
  <si>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</si>
  <si>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</si>
  <si>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</si>
  <si>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</si>
  <si>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</si>
  <si>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</si>
  <si>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</si>
  <si>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</si>
  <si>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</si>
  <si>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</si>
  <si>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</si>
  <si>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</si>
  <si>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</si>
  <si>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</si>
  <si>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</si>
  <si>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</si>
  <si>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</si>
  <si>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</si>
  <si>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</si>
  <si>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</si>
  <si>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</si>
  <si>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</si>
  <si>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</si>
  <si>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</si>
  <si>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</si>
  <si>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</si>
  <si>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</si>
  <si>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</si>
  <si>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</si>
  <si>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</si>
  <si>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</si>
  <si>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</si>
  <si>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</si>
  <si>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</si>
  <si>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</si>
  <si>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</si>
  <si>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</si>
  <si>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</si>
  <si>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</si>
  <si>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</si>
  <si>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</si>
  <si>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</si>
  <si>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</si>
  <si>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</si>
  <si>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</si>
  <si>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</si>
  <si>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</si>
  <si>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</si>
  <si>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</si>
  <si>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</si>
  <si>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</si>
  <si>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</si>
  <si>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</si>
  <si>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</si>
  <si>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</si>
  <si>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</si>
  <si>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</si>
  <si>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</si>
  <si>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</si>
  <si>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</si>
  <si>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</si>
  <si>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</si>
  <si>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</si>
  <si>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</si>
  <si>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</si>
  <si>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</si>
  <si>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</si>
  <si>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</si>
  <si>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</si>
  <si>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</si>
  <si>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</si>
  <si>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</si>
  <si>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</si>
  <si>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</si>
  <si>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</si>
  <si>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</si>
  <si>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</si>
  <si>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</si>
  <si>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</si>
  <si>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</si>
  <si>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</si>
  <si>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</si>
  <si>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</si>
  <si>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</si>
  <si>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</si>
  <si>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</si>
  <si>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</si>
  <si>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</si>
  <si>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</si>
  <si>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</si>
  <si>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</si>
  <si>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</si>
  <si>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</si>
  <si>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</si>
  <si>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</si>
  <si>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</si>
  <si>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</si>
  <si>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</si>
  <si>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</si>
  <si>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</si>
  <si>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</si>
  <si>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</si>
  <si>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</si>
  <si>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</si>
  <si>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</si>
  <si>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</si>
  <si>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</si>
  <si>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</si>
  <si>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</si>
  <si>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</si>
  <si>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</si>
  <si>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</si>
  <si>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</si>
  <si>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</si>
  <si>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</si>
  <si>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</si>
  <si>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</si>
  <si>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</si>
  <si>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</si>
  <si>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</si>
  <si>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</si>
  <si>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</si>
  <si>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</si>
  <si>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</si>
  <si>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</si>
  <si>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</si>
  <si>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</si>
  <si>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</si>
  <si>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</si>
  <si>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</si>
  <si>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</si>
  <si>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</si>
  <si>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</si>
  <si>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</si>
  <si>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</si>
  <si>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</si>
  <si>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</si>
  <si>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</si>
  <si>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</si>
  <si>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</si>
  <si>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</si>
  <si>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</si>
  <si>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</si>
  <si>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</si>
  <si>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</si>
  <si>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</si>
  <si>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</si>
  <si>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</si>
  <si>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</si>
  <si>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</si>
  <si>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</si>
  <si>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</si>
  <si>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</si>
  <si>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</si>
  <si>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</si>
  <si>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</si>
  <si>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</si>
  <si>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</si>
  <si>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</si>
  <si>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</si>
  <si>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</si>
  <si>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</si>
  <si>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</si>
  <si>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</si>
  <si>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</si>
  <si>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</si>
  <si>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</si>
  <si>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</si>
  <si>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</si>
  <si>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</si>
  <si>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</si>
  <si>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</si>
  <si>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</si>
  <si>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</si>
  <si>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</si>
  <si>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</si>
  <si>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</si>
  <si>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</si>
  <si>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</si>
  <si>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</si>
  <si>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</si>
  <si>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</si>
  <si>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</si>
  <si>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</si>
  <si>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</si>
  <si>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</si>
  <si>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</si>
  <si>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</si>
  <si>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</si>
  <si>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</si>
  <si>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</si>
  <si>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</si>
  <si>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</si>
  <si>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</si>
  <si>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</si>
  <si>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</si>
  <si>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</si>
  <si>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</si>
  <si>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</si>
  <si>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</si>
  <si>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</si>
  <si>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</si>
  <si>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</si>
  <si>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</si>
  <si>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</si>
  <si>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</si>
  <si>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</si>
  <si>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</si>
  <si>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</si>
  <si>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</si>
  <si>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</si>
  <si>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</si>
  <si>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</si>
  <si>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</si>
  <si>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</si>
  <si>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</si>
  <si>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</si>
  <si>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</si>
  <si>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</si>
  <si>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</si>
  <si>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</si>
  <si>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</si>
  <si>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</si>
  <si>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</si>
  <si>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</si>
  <si>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</si>
  <si>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</si>
  <si>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</si>
  <si>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</si>
  <si>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</si>
  <si>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</si>
  <si>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</si>
  <si>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</si>
  <si>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</si>
  <si>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</si>
  <si>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</si>
  <si>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</si>
  <si>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</si>
  <si>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</si>
  <si>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</si>
  <si>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</si>
  <si>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</si>
  <si>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</si>
  <si>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</si>
  <si>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</si>
  <si>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</si>
  <si>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</si>
  <si>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</si>
  <si>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</si>
  <si>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</si>
  <si>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</si>
  <si>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</si>
  <si>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</si>
  <si>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</si>
  <si>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</si>
  <si>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</si>
  <si>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</si>
  <si>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</si>
  <si>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</si>
  <si>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</si>
  <si>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</si>
  <si>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</si>
  <si>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</si>
  <si>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</si>
  <si>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</si>
  <si>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</si>
  <si>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</si>
  <si>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</si>
  <si>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</si>
  <si>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</si>
  <si>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</si>
  <si>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</si>
  <si>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</si>
  <si>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</si>
  <si>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</si>
  <si>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</si>
  <si>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</si>
  <si>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</si>
  <si>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</si>
  <si>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</si>
  <si>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</si>
  <si>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</si>
  <si>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</si>
  <si>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</si>
  <si>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</si>
  <si>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</si>
  <si>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</si>
  <si>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</si>
  <si>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</si>
  <si>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</si>
  <si>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</si>
  <si>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</si>
  <si>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</si>
  <si>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</si>
  <si>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</si>
  <si>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</si>
  <si>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</si>
  <si>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</si>
  <si>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</si>
  <si>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</si>
  <si>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</si>
  <si>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</si>
  <si>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</si>
  <si>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</si>
  <si>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</si>
  <si>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</si>
  <si>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</si>
  <si>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</si>
  <si>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</si>
  <si>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</si>
  <si>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</si>
  <si>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</si>
  <si>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</si>
  <si>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</si>
  <si>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</si>
  <si>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</si>
  <si>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</si>
  <si>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</si>
  <si>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</si>
  <si>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</si>
  <si>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</si>
  <si>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</si>
  <si>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</si>
  <si>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</si>
  <si>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</si>
  <si>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</si>
  <si>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</si>
  <si>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</si>
  <si>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</si>
  <si>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</si>
  <si>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</si>
  <si>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</si>
  <si>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</si>
  <si>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</si>
  <si>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</si>
  <si>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</si>
  <si>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</si>
  <si>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</si>
  <si>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</si>
  <si>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</si>
  <si>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</si>
  <si>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</si>
  <si>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</si>
  <si>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</si>
  <si>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</si>
  <si>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</si>
  <si>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</si>
  <si>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</si>
  <si>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</si>
  <si>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</si>
  <si>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</si>
  <si>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</si>
  <si>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</si>
  <si>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</si>
  <si>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</si>
  <si>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</si>
  <si>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</si>
  <si>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</si>
  <si>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</si>
  <si>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</si>
  <si>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</si>
  <si>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</si>
  <si>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</si>
  <si>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</si>
  <si>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</si>
  <si>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</si>
  <si>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</si>
  <si>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</si>
  <si>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</si>
  <si>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</si>
  <si>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</si>
  <si>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</si>
  <si>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</si>
  <si>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</si>
  <si>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</si>
  <si>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</si>
  <si>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</si>
  <si>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</si>
  <si>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</si>
  <si>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</si>
  <si>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</si>
  <si>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</si>
  <si>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</si>
  <si>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</si>
  <si>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</si>
  <si>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</si>
  <si>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</si>
  <si>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</si>
  <si>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</si>
  <si>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</si>
  <si>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</si>
  <si>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</si>
  <si>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</si>
  <si>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</si>
  <si>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</si>
  <si>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</si>
  <si>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</si>
  <si>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</si>
  <si>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</si>
  <si>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</si>
  <si>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</si>
  <si>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</si>
  <si>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</si>
  <si>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</si>
  <si>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</si>
  <si>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</si>
  <si>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</si>
  <si>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</si>
  <si>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</si>
  <si>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</si>
  <si>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</si>
  <si>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</si>
  <si>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</si>
  <si>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</si>
  <si>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</si>
  <si>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</si>
  <si>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</si>
  <si>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</si>
  <si>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</si>
  <si>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</si>
  <si>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</si>
  <si>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</si>
  <si>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</si>
  <si>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</si>
  <si>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</si>
  <si>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</si>
  <si>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</si>
  <si>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</si>
  <si>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</si>
  <si>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</si>
  <si>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</si>
  <si>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</si>
  <si>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</si>
  <si>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</si>
  <si>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</si>
  <si>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</si>
  <si>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</si>
  <si>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</si>
  <si>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</si>
  <si>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</si>
  <si>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</si>
  <si>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</si>
  <si>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</si>
  <si>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</si>
  <si>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</si>
  <si>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</si>
  <si>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</si>
  <si>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</si>
  <si>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</si>
  <si>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</si>
  <si>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</si>
  <si>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</si>
  <si>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</si>
  <si>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</si>
  <si>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</si>
  <si>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</si>
  <si>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</si>
  <si>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</si>
  <si>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</si>
  <si>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</si>
  <si>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</si>
  <si>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</si>
  <si>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</si>
  <si>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</si>
  <si>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</si>
  <si>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</si>
  <si>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</si>
  <si>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</si>
  <si>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</si>
  <si>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</si>
  <si>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</si>
  <si>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</si>
  <si>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</si>
  <si>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</si>
  <si>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</si>
  <si>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</si>
  <si>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</si>
  <si>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</si>
  <si>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</si>
  <si>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</si>
  <si>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</si>
  <si>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</si>
  <si>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</si>
  <si>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</si>
  <si>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</si>
  <si>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</si>
  <si>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</si>
  <si>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</si>
  <si>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</si>
  <si>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</si>
  <si>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</si>
  <si>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</si>
  <si>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</si>
  <si>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</si>
  <si>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</si>
  <si>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</si>
  <si>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</si>
  <si>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</si>
  <si>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</si>
  <si>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</si>
  <si>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</si>
  <si>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</si>
  <si>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</si>
  <si>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</si>
  <si>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</si>
  <si>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</si>
  <si>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</si>
  <si>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</si>
  <si>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</si>
  <si>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</si>
  <si>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</si>
  <si>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</si>
  <si>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</si>
  <si>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</si>
  <si>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</si>
  <si>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</si>
  <si>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</si>
  <si>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</si>
  <si>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</si>
  <si>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</si>
  <si>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</si>
  <si>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</si>
  <si>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</si>
  <si>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</si>
  <si>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</si>
  <si>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</si>
  <si>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</si>
  <si>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</si>
  <si>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</si>
  <si>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</si>
  <si>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</si>
  <si>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</si>
  <si>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</si>
  <si>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</si>
  <si>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</si>
  <si>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</si>
  <si>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</si>
  <si>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</si>
  <si>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</si>
  <si>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</si>
  <si>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</si>
  <si>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</si>
  <si>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</si>
  <si>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</si>
  <si>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</si>
  <si>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</si>
  <si>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</si>
  <si>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</si>
  <si>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</si>
  <si>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</si>
  <si>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</si>
  <si>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</si>
  <si>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</si>
  <si>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</si>
  <si>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</si>
  <si>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</si>
  <si>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</si>
  <si>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</si>
  <si>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</si>
  <si>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</si>
  <si>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</si>
  <si>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</si>
  <si>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</si>
  <si>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</si>
  <si>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</si>
  <si>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</si>
  <si>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</si>
  <si>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</si>
  <si>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</si>
  <si>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</si>
  <si>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</si>
  <si>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</si>
  <si>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</si>
  <si>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</si>
  <si>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</si>
  <si>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</si>
  <si>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</si>
  <si>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</si>
  <si>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</si>
  <si>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</si>
  <si>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</si>
  <si>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</si>
  <si>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</si>
  <si>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</si>
  <si>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</si>
  <si>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</si>
  <si>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</si>
  <si>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</si>
  <si>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</si>
  <si>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</si>
  <si>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</si>
  <si>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</si>
  <si>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</si>
  <si>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</si>
  <si>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</si>
  <si>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</si>
  <si>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</si>
  <si>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</si>
  <si>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</si>
  <si>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</si>
  <si>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</si>
  <si>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</si>
  <si>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</si>
  <si>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</si>
  <si>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</si>
  <si>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</si>
  <si>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</si>
  <si>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</si>
  <si>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</si>
  <si>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</si>
  <si>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</si>
  <si>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</si>
  <si>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</si>
  <si>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</si>
  <si>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</si>
  <si>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</si>
  <si>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</si>
  <si>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</si>
  <si>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</si>
  <si>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</si>
  <si>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</si>
  <si>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</si>
  <si>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</si>
  <si>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</si>
  <si>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</si>
  <si>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</si>
  <si>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</si>
  <si>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</si>
  <si>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</si>
  <si>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</si>
  <si>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</si>
  <si>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</si>
  <si>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</si>
  <si>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</si>
  <si>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</si>
  <si>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</si>
  <si>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</si>
  <si>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</si>
  <si>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</si>
  <si>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</si>
  <si>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</si>
  <si>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</si>
  <si>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</si>
  <si>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</si>
  <si>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</si>
  <si>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</si>
  <si>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</si>
  <si>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</si>
  <si>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</si>
  <si>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</si>
  <si>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</si>
  <si>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</si>
  <si>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</si>
  <si>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</si>
  <si>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</si>
  <si>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</si>
  <si>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</si>
  <si>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</si>
  <si>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</si>
  <si>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</si>
  <si>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</si>
  <si>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</si>
  <si>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</si>
  <si>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</si>
  <si>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</si>
  <si>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</si>
  <si>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</si>
  <si>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</si>
  <si>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</si>
  <si>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</si>
  <si>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</si>
  <si>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</si>
  <si>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</si>
  <si>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</si>
  <si>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</si>
  <si>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</si>
  <si>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</si>
  <si>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</si>
  <si>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</si>
  <si>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</si>
  <si>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</si>
  <si>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</si>
  <si>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</si>
  <si>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</si>
  <si>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</si>
  <si>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</si>
  <si>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</si>
  <si>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</si>
  <si>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</si>
  <si>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</si>
  <si>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</si>
  <si>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</si>
  <si>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</si>
  <si>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</si>
  <si>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</si>
  <si>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</si>
  <si>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</si>
  <si>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</si>
  <si>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</si>
  <si>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</si>
  <si>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</si>
  <si>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</si>
  <si>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</si>
  <si>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</si>
  <si>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</si>
  <si>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</si>
  <si>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</si>
  <si>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</si>
  <si>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</si>
  <si>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</si>
  <si>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</si>
  <si>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</si>
  <si>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</si>
  <si>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</si>
  <si>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</si>
  <si>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</si>
  <si>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</si>
  <si>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</si>
  <si>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</si>
  <si>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</si>
  <si>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</si>
  <si>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</si>
  <si>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</si>
  <si>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</si>
  <si>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</si>
  <si>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</si>
  <si>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</si>
  <si>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</si>
  <si>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</si>
  <si>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</si>
  <si>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</si>
  <si>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</si>
  <si>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</si>
  <si>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</si>
  <si>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</si>
  <si>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</si>
  <si>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</si>
  <si>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</si>
  <si>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</si>
  <si>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</si>
  <si>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</si>
  <si>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</si>
  <si>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</si>
  <si>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</si>
  <si>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</si>
  <si>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</si>
  <si>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</si>
  <si>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</si>
  <si>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</si>
  <si>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</si>
  <si>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</si>
  <si>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</si>
  <si>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</si>
  <si>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</si>
  <si>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</si>
  <si>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</si>
  <si>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</si>
  <si>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</si>
  <si>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</si>
  <si>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</si>
  <si>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</si>
  <si>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</si>
  <si>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</si>
  <si>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</si>
  <si>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</si>
  <si>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</si>
  <si>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</si>
  <si>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</si>
  <si>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</si>
  <si>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</si>
  <si>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</si>
  <si>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</si>
  <si>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</si>
  <si>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</si>
  <si>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</si>
  <si>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</si>
  <si>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</si>
  <si>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</si>
  <si>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</si>
  <si>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</si>
  <si>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</si>
  <si>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</si>
  <si>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</si>
  <si>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</si>
  <si>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</si>
  <si>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</si>
  <si>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</si>
  <si>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</si>
  <si>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</si>
  <si>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</si>
  <si>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</si>
  <si>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</si>
  <si>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</si>
  <si>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</si>
  <si>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</si>
  <si>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</si>
  <si>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</si>
  <si>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</si>
  <si>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</si>
  <si>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</si>
  <si>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</si>
  <si>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</si>
  <si>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</si>
  <si>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</si>
  <si>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</si>
  <si>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</si>
  <si>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</si>
  <si>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</si>
  <si>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</si>
  <si>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</si>
  <si>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</si>
  <si>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</si>
  <si>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</si>
  <si>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</si>
  <si>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</si>
  <si>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</si>
  <si>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</si>
  <si>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</si>
  <si>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</si>
  <si>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</si>
  <si>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</si>
  <si>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</si>
  <si>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</si>
  <si>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</si>
  <si>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</si>
  <si>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</si>
  <si>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</si>
  <si>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</si>
  <si>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</si>
  <si>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</si>
  <si>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</si>
  <si>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</si>
  <si>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</si>
  <si>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</si>
  <si>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</si>
  <si>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</si>
  <si>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</si>
  <si>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</si>
  <si>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</si>
  <si>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</si>
  <si>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</si>
  <si>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</si>
  <si>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</si>
  <si>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</si>
  <si>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</si>
  <si>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</si>
  <si>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</si>
  <si>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</si>
  <si>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</si>
  <si>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</si>
  <si>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</si>
  <si>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</si>
  <si>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</si>
  <si>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</si>
  <si>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</si>
  <si>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</si>
  <si>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</si>
  <si>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</si>
  <si>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</si>
  <si>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</si>
  <si>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</si>
  <si>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</si>
  <si>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</si>
  <si>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</si>
  <si>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</si>
  <si>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</si>
  <si>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</si>
  <si>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</si>
  <si>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</si>
  <si>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</si>
  <si>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</si>
  <si>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</si>
  <si>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</si>
  <si>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</si>
  <si>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</si>
  <si>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</si>
  <si>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</si>
  <si>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</si>
  <si>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</si>
  <si>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</si>
  <si>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</si>
  <si>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</si>
  <si>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</si>
  <si>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</si>
  <si>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</si>
  <si>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</si>
  <si>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</si>
  <si>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</si>
  <si>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</si>
  <si>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</si>
  <si>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</si>
  <si>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</si>
  <si>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</si>
  <si>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</si>
  <si>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</si>
  <si>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</si>
  <si>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</si>
  <si>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</si>
  <si>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</si>
  <si>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</si>
  <si>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</si>
  <si>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</si>
  <si>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</si>
  <si>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</si>
  <si>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</si>
  <si>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</si>
  <si>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</si>
  <si>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</si>
  <si>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</si>
  <si>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</si>
  <si>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</si>
  <si>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</si>
  <si>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</si>
  <si>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</si>
  <si>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</si>
  <si>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</si>
  <si>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</si>
  <si>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</si>
  <si>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</si>
  <si>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</si>
  <si>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</si>
  <si>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</si>
  <si>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</si>
  <si>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</si>
  <si>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</si>
  <si>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</si>
  <si>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</si>
  <si>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</si>
  <si>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</si>
  <si>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</si>
  <si>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</si>
  <si>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</si>
  <si>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</si>
  <si>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</si>
  <si>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</si>
  <si>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</si>
  <si>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</si>
  <si>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</si>
  <si>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</si>
  <si>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</si>
  <si>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</si>
  <si>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</si>
  <si>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</si>
  <si>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</si>
  <si>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</si>
  <si>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</si>
  <si>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</si>
  <si>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</si>
  <si>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</si>
  <si>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</si>
  <si>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</si>
  <si>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</si>
  <si>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</si>
  <si>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</si>
  <si>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</si>
  <si>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</si>
  <si>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</si>
  <si>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</si>
  <si>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</si>
  <si>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</si>
  <si>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</si>
  <si>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</si>
  <si>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</si>
  <si>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</si>
  <si>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</si>
  <si>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</si>
  <si>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</si>
  <si>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</si>
  <si>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</si>
  <si>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</si>
  <si>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</si>
  <si>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</si>
  <si>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</si>
  <si>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</si>
  <si>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</si>
  <si>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</si>
  <si>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</si>
  <si>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</si>
  <si>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</si>
  <si>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</si>
  <si>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</si>
  <si>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</si>
  <si>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</si>
  <si>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</si>
  <si>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</si>
  <si>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</si>
  <si>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</si>
  <si>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</si>
  <si>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</si>
  <si>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</si>
  <si>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</si>
  <si>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</si>
  <si>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</si>
  <si>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</si>
  <si>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</si>
  <si>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</si>
  <si>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</si>
  <si>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</si>
  <si>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</si>
  <si>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</si>
  <si>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</si>
  <si>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</si>
  <si>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</si>
  <si>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</si>
  <si>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</si>
  <si>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</si>
  <si>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</si>
  <si>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</si>
  <si>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</si>
  <si>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</si>
  <si>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</si>
  <si>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</si>
  <si>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</si>
  <si>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</si>
  <si>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</si>
  <si>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</si>
  <si>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</si>
  <si>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</si>
  <si>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</si>
  <si>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</si>
  <si>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</si>
  <si>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</si>
  <si>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</si>
  <si>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</si>
  <si>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</si>
  <si>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</si>
  <si>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</si>
  <si>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</si>
  <si>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</si>
  <si>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</si>
  <si>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</si>
  <si>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</si>
  <si>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</si>
  <si>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</si>
  <si>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</si>
  <si>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</si>
  <si>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</si>
  <si>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</si>
  <si>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</si>
  <si>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</si>
  <si>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</si>
  <si>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</si>
  <si>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</si>
  <si>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</si>
  <si>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</si>
  <si>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</si>
  <si>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</si>
  <si>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</si>
  <si>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</si>
  <si>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</si>
  <si>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</si>
  <si>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</si>
  <si>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</si>
  <si>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</si>
  <si>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</si>
  <si>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</si>
  <si>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</si>
  <si>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</si>
  <si>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</si>
  <si>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</si>
  <si>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</si>
  <si>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</si>
  <si>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</si>
  <si>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</si>
  <si>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</si>
  <si>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</si>
  <si>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</si>
  <si>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</si>
  <si>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</si>
  <si>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</si>
  <si>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</si>
  <si>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</si>
  <si>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</si>
  <si>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</si>
  <si>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</si>
  <si>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</si>
  <si>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</si>
  <si>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</si>
  <si>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</si>
  <si>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</si>
  <si>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</si>
  <si>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</si>
  <si>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</si>
  <si>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</si>
  <si>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</si>
  <si>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</si>
  <si>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</si>
  <si>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</si>
  <si>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</si>
  <si>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</si>
  <si>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</si>
  <si>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</si>
  <si>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</si>
  <si>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</si>
  <si>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</si>
  <si>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</si>
  <si>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</si>
  <si>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</si>
  <si>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</si>
  <si>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</si>
  <si>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</si>
  <si>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</si>
  <si>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</si>
  <si>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</si>
  <si>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</si>
  <si>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</si>
  <si>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</si>
  <si>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</si>
  <si>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</si>
  <si>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</si>
  <si>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</si>
  <si>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</si>
  <si>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</si>
  <si>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</si>
  <si>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</si>
  <si>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</si>
  <si>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</si>
  <si>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</si>
  <si>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</si>
  <si>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</si>
  <si>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</si>
  <si>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</si>
  <si>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</si>
  <si>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</si>
  <si>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</si>
  <si>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</si>
  <si>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</si>
  <si>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</si>
  <si>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</si>
  <si>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</si>
  <si>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</si>
  <si>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</si>
  <si>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</si>
  <si>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</si>
  <si>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</si>
  <si>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</si>
  <si>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</si>
  <si>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</si>
  <si>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</si>
  <si>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</si>
  <si>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</si>
  <si>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</si>
  <si>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</si>
  <si>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</si>
  <si>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</si>
  <si>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</si>
  <si>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</si>
  <si>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</si>
  <si>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</si>
  <si>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</si>
  <si>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</si>
  <si>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</si>
  <si>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</si>
  <si>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</si>
  <si>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</si>
  <si>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</si>
  <si>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</si>
  <si>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</si>
  <si>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</si>
  <si>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</si>
  <si>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</si>
  <si>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</si>
  <si>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</si>
  <si>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</si>
  <si>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</si>
  <si>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</si>
  <si>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</si>
  <si>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</si>
  <si>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</si>
  <si>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</si>
  <si>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</si>
  <si>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</si>
  <si>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</si>
  <si>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</si>
  <si>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</si>
  <si>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</si>
  <si>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</si>
  <si>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</si>
  <si>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</si>
  <si>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</si>
  <si>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</si>
  <si>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</si>
  <si>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</si>
  <si>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</si>
  <si>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</si>
  <si>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</si>
  <si>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</si>
  <si>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</si>
  <si>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</si>
  <si>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</si>
  <si>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</si>
  <si>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</si>
  <si>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</si>
  <si>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</si>
  <si>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</si>
  <si>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</si>
  <si>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</si>
  <si>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</si>
  <si>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</si>
  <si>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</si>
  <si>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</si>
  <si>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</si>
  <si>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</si>
  <si>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</si>
  <si>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</si>
  <si>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</si>
  <si>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</si>
  <si>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</si>
  <si>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</si>
  <si>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</si>
  <si>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</si>
  <si>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</si>
  <si>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</si>
  <si>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</si>
  <si>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</si>
  <si>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</si>
  <si>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</si>
  <si>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</si>
  <si>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</si>
  <si>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</si>
  <si>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</si>
  <si>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</si>
  <si>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</si>
  <si>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</si>
  <si>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</si>
  <si>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</si>
  <si>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</si>
  <si>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</si>
  <si>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</si>
  <si>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</si>
  <si>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</si>
  <si>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</si>
  <si>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</si>
  <si>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</si>
  <si>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</si>
  <si>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</si>
  <si>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</si>
  <si>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</si>
  <si>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</si>
  <si>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</si>
  <si>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</si>
  <si>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</si>
  <si>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</si>
  <si>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</si>
  <si>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</si>
  <si>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</si>
  <si>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</si>
  <si>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</si>
  <si>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</si>
  <si>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</si>
  <si>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</si>
  <si>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</si>
  <si>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</si>
  <si>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</si>
  <si>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</si>
  <si>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</si>
  <si>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</si>
  <si>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</si>
  <si>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</si>
  <si>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</si>
  <si>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</si>
  <si>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</si>
  <si>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</si>
  <si>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</si>
  <si>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</si>
  <si>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</si>
  <si>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</si>
  <si>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</si>
  <si>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</si>
  <si>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</si>
  <si>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</si>
  <si>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</si>
  <si>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</si>
  <si>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</si>
  <si>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</si>
  <si>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</si>
  <si>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</si>
  <si>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</si>
  <si>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</si>
  <si>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</si>
  <si>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</si>
  <si>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</si>
  <si>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</si>
  <si>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</si>
  <si>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</si>
  <si>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</si>
  <si>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</si>
  <si>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</si>
  <si>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</si>
  <si>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</si>
  <si>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</si>
  <si>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</si>
  <si>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</si>
  <si>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</si>
  <si>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</si>
  <si>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</si>
  <si>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</si>
  <si>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</si>
  <si>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</si>
  <si>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</si>
  <si>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</si>
  <si>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</si>
  <si>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</si>
  <si>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</si>
  <si>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</si>
  <si>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</si>
  <si>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</si>
  <si>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</si>
  <si>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</si>
  <si>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</si>
  <si>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</si>
  <si>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</si>
  <si>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</si>
  <si>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</si>
  <si>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</si>
  <si>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</si>
  <si>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</si>
  <si>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</si>
  <si>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</si>
  <si>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</si>
  <si>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</si>
  <si>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</si>
  <si>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</si>
  <si>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</si>
  <si>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</si>
  <si>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</si>
  <si>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</si>
  <si>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</si>
  <si>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</si>
  <si>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</si>
  <si>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</si>
  <si>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</si>
  <si>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</si>
  <si>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</si>
  <si>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</si>
  <si>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</si>
  <si>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</si>
  <si>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</si>
  <si>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</si>
  <si>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</si>
  <si>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</si>
  <si>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</si>
  <si>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</si>
  <si>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</si>
  <si>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</si>
  <si>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</si>
  <si>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</si>
  <si>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</si>
  <si>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</si>
  <si>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</si>
  <si>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</si>
  <si>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</si>
  <si>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</si>
  <si>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</si>
  <si>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</si>
  <si>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</si>
  <si>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</si>
  <si>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</si>
  <si>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</si>
  <si>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</si>
  <si>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</si>
  <si>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</si>
  <si>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</si>
  <si>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</si>
  <si>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</si>
  <si>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</si>
  <si>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</si>
  <si>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</si>
  <si>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</si>
  <si>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</si>
  <si>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</si>
  <si>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</si>
  <si>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</si>
  <si>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</si>
  <si>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</si>
  <si>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</si>
  <si>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</si>
  <si>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</si>
  <si>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</si>
  <si>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</si>
  <si>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</si>
  <si>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</si>
  <si>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</si>
  <si>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</si>
  <si>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</si>
  <si>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</si>
  <si>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</si>
  <si>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</si>
  <si>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</si>
  <si>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</si>
  <si>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</si>
  <si>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</si>
  <si>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</si>
  <si>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</si>
  <si>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</si>
  <si>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</si>
  <si>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</si>
  <si>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</si>
  <si>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</si>
  <si>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</si>
  <si>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</si>
  <si>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</si>
  <si>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</si>
  <si>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</si>
  <si>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</si>
  <si>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</si>
  <si>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</si>
  <si>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</si>
  <si>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</si>
  <si>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</si>
  <si>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</si>
  <si>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</si>
  <si>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</si>
  <si>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</si>
  <si>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</si>
  <si>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</si>
  <si>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</si>
  <si>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</si>
  <si>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</si>
  <si>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</si>
  <si>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</si>
  <si>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</si>
  <si>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</si>
  <si>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</si>
  <si>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</si>
  <si>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</si>
  <si>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</si>
  <si>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</si>
  <si>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</si>
  <si>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</si>
  <si>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</si>
  <si>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</si>
  <si>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</si>
  <si>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</si>
  <si>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</si>
  <si>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</si>
  <si>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</si>
  <si>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</si>
  <si>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</si>
  <si>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</si>
  <si>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</si>
  <si>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</si>
  <si>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</si>
  <si>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</si>
  <si>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</si>
  <si>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</si>
  <si>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</si>
  <si>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</si>
  <si>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</si>
  <si>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</si>
  <si>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</si>
  <si>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</si>
  <si>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</si>
  <si>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</si>
  <si>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</si>
  <si>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</si>
  <si>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</si>
  <si>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</si>
  <si>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</si>
  <si>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</si>
  <si>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</si>
  <si>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</si>
  <si>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</si>
  <si>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</si>
  <si>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</si>
  <si>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</si>
  <si>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</si>
  <si>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</si>
  <si>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</si>
  <si>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</si>
  <si>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</si>
  <si>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</si>
  <si>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</si>
  <si>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</si>
  <si>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</si>
  <si>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</si>
  <si>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</si>
  <si>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</si>
  <si>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</si>
  <si>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</si>
  <si>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</si>
  <si>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</si>
  <si>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</si>
  <si>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</si>
  <si>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</si>
  <si>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</si>
  <si>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</si>
  <si>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</si>
  <si>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</si>
  <si>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</si>
  <si>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</si>
  <si>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</si>
  <si>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</si>
  <si>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</si>
  <si>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</si>
  <si>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</si>
  <si>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</si>
  <si>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</si>
  <si>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</si>
  <si>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</si>
  <si>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</si>
  <si>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</si>
  <si>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</si>
  <si>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</si>
  <si>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</si>
  <si>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</si>
  <si>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</si>
  <si>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</si>
  <si>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</si>
  <si>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</si>
  <si>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</si>
  <si>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</si>
  <si>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</si>
  <si>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</si>
  <si>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</si>
  <si>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</si>
  <si>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</si>
  <si>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</si>
  <si>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</si>
  <si>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</si>
  <si>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</si>
  <si>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</si>
  <si>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</si>
  <si>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</si>
  <si>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</si>
  <si>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</si>
  <si>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</si>
  <si>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</si>
  <si>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</si>
  <si>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</si>
  <si>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</si>
  <si>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</si>
  <si>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</si>
  <si>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</si>
  <si>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</si>
  <si>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</si>
  <si>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</si>
  <si>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</si>
  <si>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</si>
  <si>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</si>
  <si>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</si>
  <si>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</si>
  <si>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</si>
  <si>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</si>
  <si>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</si>
  <si>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</si>
  <si>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</si>
  <si>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</si>
  <si>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</si>
  <si>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</si>
  <si>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</si>
  <si>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</si>
  <si>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</si>
  <si>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</si>
  <si>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</si>
  <si>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</si>
  <si>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</si>
  <si>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</si>
  <si>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</si>
  <si>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</si>
  <si>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</si>
  <si>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</si>
  <si>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</si>
  <si>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</si>
  <si>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</si>
  <si>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</si>
  <si>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</si>
  <si>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</si>
  <si>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</si>
  <si>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</si>
  <si>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</si>
  <si>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</si>
  <si>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</si>
  <si>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</si>
  <si>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</si>
  <si>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</si>
  <si>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</si>
  <si>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</si>
  <si>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</si>
  <si>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</si>
  <si>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</si>
  <si>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</si>
  <si>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</si>
  <si>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</si>
  <si>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</si>
  <si>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</si>
  <si>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</si>
  <si>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</si>
  <si>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</si>
  <si>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</si>
  <si>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</si>
  <si>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</si>
  <si>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</si>
  <si>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</si>
  <si>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</si>
  <si>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</si>
  <si>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</si>
  <si>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</si>
  <si>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</si>
  <si>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</si>
  <si>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</si>
  <si>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</si>
  <si>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</si>
  <si>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</si>
  <si>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</si>
  <si>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</si>
  <si>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</si>
  <si>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</si>
  <si>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</si>
  <si>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</si>
  <si>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</si>
  <si>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</si>
  <si>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</si>
  <si>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</si>
  <si>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</si>
  <si>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</si>
  <si>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</si>
  <si>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</si>
  <si>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</si>
  <si>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</si>
  <si>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</si>
  <si>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</si>
  <si>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</si>
  <si>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</si>
  <si>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</si>
  <si>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</si>
  <si>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</si>
  <si>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</si>
  <si>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</si>
  <si>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</si>
  <si>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</si>
  <si>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</si>
  <si>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</si>
  <si>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</si>
  <si>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</si>
  <si>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</si>
  <si>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</si>
  <si>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</si>
  <si>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</si>
  <si>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</si>
  <si>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</si>
  <si>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</si>
  <si>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</si>
  <si>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</si>
  <si>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</si>
  <si>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</si>
  <si>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</si>
  <si>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</si>
  <si>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</si>
  <si>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</si>
  <si>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</si>
  <si>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</si>
  <si>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</si>
  <si>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</si>
  <si>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</si>
  <si>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</si>
  <si>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</si>
  <si>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</si>
  <si>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</si>
  <si>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</si>
  <si>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</si>
  <si>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</si>
  <si>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</si>
  <si>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</si>
  <si>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</si>
  <si>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</si>
  <si>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</si>
  <si>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</si>
  <si>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</si>
  <si>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</si>
  <si>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</si>
  <si>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</si>
  <si>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</si>
  <si>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</si>
  <si>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</si>
  <si>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</si>
  <si>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</si>
  <si>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</si>
  <si>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</si>
  <si>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</si>
  <si>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</si>
  <si>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</si>
  <si>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</si>
  <si>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</si>
  <si>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</si>
  <si>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</si>
  <si>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</si>
  <si>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</si>
  <si>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</si>
  <si>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</si>
  <si>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</si>
  <si>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</si>
  <si>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</si>
  <si>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</si>
  <si>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</si>
  <si>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</si>
  <si>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</si>
  <si>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</si>
  <si>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</si>
  <si>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</si>
  <si>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</si>
  <si>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</si>
  <si>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</si>
  <si>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</si>
  <si>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</si>
  <si>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</si>
  <si>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</si>
  <si>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</si>
  <si>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</si>
  <si>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</si>
  <si>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</si>
  <si>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</si>
  <si>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</si>
  <si>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</si>
  <si>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</si>
  <si>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</si>
  <si>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</si>
  <si>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</si>
  <si>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</si>
  <si>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</si>
  <si>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</si>
  <si>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</si>
  <si>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</si>
  <si>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</si>
  <si>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</si>
  <si>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</si>
  <si>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</si>
  <si>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</si>
  <si>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</si>
  <si>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</si>
  <si>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</si>
  <si>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</si>
  <si>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</si>
  <si>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</si>
  <si>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</si>
  <si>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</si>
  <si>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</si>
  <si>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</si>
  <si>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</si>
  <si>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</si>
  <si>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</si>
  <si>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</si>
  <si>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</si>
  <si>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</si>
  <si>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</si>
  <si>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</si>
  <si>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</si>
  <si>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</si>
  <si>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</si>
  <si>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</si>
  <si>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</si>
  <si>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</si>
  <si>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</si>
  <si>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</si>
  <si>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</si>
  <si>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</si>
  <si>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</si>
  <si>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</si>
  <si>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</si>
  <si>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</si>
  <si>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</si>
  <si>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</si>
  <si>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</si>
  <si>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</si>
  <si>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</si>
  <si>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</si>
  <si>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</si>
  <si>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</si>
  <si>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</si>
  <si>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</si>
  <si>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</si>
  <si>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</si>
  <si>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</si>
  <si>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</si>
  <si>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</si>
  <si>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</si>
  <si>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</si>
  <si>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</si>
  <si>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</si>
  <si>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</si>
  <si>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</si>
  <si>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</si>
  <si>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</si>
  <si>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</si>
  <si>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</si>
  <si>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</si>
  <si>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</si>
  <si>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</si>
  <si>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</si>
  <si>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</si>
  <si>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</si>
  <si>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</si>
  <si>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</si>
  <si>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</si>
  <si>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</si>
  <si>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</si>
  <si>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</si>
  <si>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</si>
  <si>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</si>
  <si>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</si>
  <si>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</si>
  <si>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</si>
  <si>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</si>
  <si>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</si>
  <si>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</si>
  <si>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</si>
  <si>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</si>
  <si>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</si>
  <si>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</si>
  <si>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</si>
  <si>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</si>
  <si>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</si>
  <si>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</si>
  <si>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</si>
  <si>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</si>
  <si>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</si>
  <si>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</si>
  <si>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</si>
  <si>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</si>
  <si>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</si>
  <si>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</si>
  <si>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</si>
  <si>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</si>
  <si>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</si>
  <si>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</si>
  <si>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</si>
  <si>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</si>
  <si>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</si>
  <si>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</si>
  <si>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</si>
  <si>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</si>
  <si>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</si>
  <si>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</si>
  <si>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</si>
  <si>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</si>
  <si>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</si>
  <si>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</si>
  <si>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</si>
  <si>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</si>
  <si>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</si>
  <si>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</si>
  <si>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</si>
  <si>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</si>
  <si>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</si>
  <si>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</si>
  <si>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</si>
  <si>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</si>
  <si>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</si>
  <si>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</si>
  <si>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</si>
  <si>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</si>
  <si>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</si>
  <si>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</si>
  <si>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</si>
  <si>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</si>
  <si>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</si>
  <si>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</si>
  <si>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</si>
  <si>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</si>
  <si>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</si>
  <si>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</si>
  <si>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</si>
  <si>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</si>
  <si>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</si>
  <si>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</si>
  <si>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</si>
  <si>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</si>
  <si>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</si>
  <si>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</si>
  <si>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</si>
  <si>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</si>
  <si>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</si>
  <si>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</si>
  <si>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</si>
  <si>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</si>
  <si>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</si>
  <si>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</si>
  <si>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</si>
  <si>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</si>
  <si>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</si>
  <si>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</si>
  <si>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</si>
  <si>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</si>
  <si>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</si>
  <si>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</si>
  <si>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</si>
  <si>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</si>
  <si>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</si>
  <si>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</si>
  <si>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</si>
  <si>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</si>
  <si>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</si>
  <si>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</si>
  <si>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</si>
  <si>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</si>
  <si>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</si>
  <si>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</si>
  <si>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</si>
  <si>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</si>
  <si>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</si>
  <si>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</si>
  <si>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</si>
  <si>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</si>
  <si>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</si>
  <si>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</si>
  <si>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</si>
  <si>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</si>
  <si>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</si>
  <si>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</si>
  <si>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</si>
  <si>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</si>
  <si>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</si>
  <si>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</si>
  <si>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</si>
  <si>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</si>
  <si>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</si>
  <si>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</si>
  <si>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</si>
  <si>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</si>
  <si>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</si>
  <si>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</si>
  <si>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</si>
  <si>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</si>
  <si>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</si>
  <si>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</si>
  <si>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</si>
  <si>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</si>
  <si>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</si>
  <si>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</si>
  <si>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</si>
  <si>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</si>
  <si>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</si>
  <si>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</si>
  <si>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</si>
  <si>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</si>
  <si>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</si>
  <si>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</si>
  <si>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</si>
  <si>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</si>
  <si>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</si>
  <si>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</si>
  <si>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</si>
  <si>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</si>
  <si>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</si>
  <si>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</si>
  <si>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</si>
  <si>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</si>
  <si>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</si>
  <si>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</si>
  <si>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</si>
  <si>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</si>
  <si>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</si>
  <si>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</si>
  <si>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</si>
  <si>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</si>
  <si>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</si>
  <si>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</si>
  <si>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</si>
  <si>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</si>
  <si>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</si>
  <si>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</si>
  <si>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</si>
  <si>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</si>
  <si>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</si>
  <si>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</si>
  <si>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</si>
  <si>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</si>
  <si>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</si>
  <si>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</si>
  <si>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</si>
  <si>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</si>
  <si>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</si>
  <si>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</si>
  <si>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</si>
  <si>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</si>
  <si>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</si>
  <si>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</si>
  <si>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</si>
  <si>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</si>
  <si>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</si>
  <si>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</si>
  <si>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</si>
  <si>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</si>
  <si>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</si>
  <si>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</si>
  <si>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</si>
  <si>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</si>
  <si>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</si>
  <si>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</si>
  <si>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</si>
  <si>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</si>
  <si>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</si>
  <si>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</si>
  <si>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</si>
  <si>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</si>
  <si>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</si>
  <si>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</si>
  <si>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</si>
  <si>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</si>
  <si>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</si>
  <si>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</si>
  <si>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</si>
  <si>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</si>
  <si>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</si>
  <si>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</si>
  <si>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</si>
  <si>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</si>
  <si>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</si>
  <si>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</si>
  <si>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</si>
  <si>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</si>
  <si>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</si>
  <si>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</si>
  <si>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</si>
  <si>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</si>
  <si>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</si>
  <si>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</si>
  <si>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</si>
  <si>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</si>
  <si>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</si>
  <si>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</si>
  <si>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</si>
  <si>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</si>
  <si>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</si>
  <si>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</si>
  <si>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</si>
  <si>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</si>
  <si>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</si>
  <si>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</si>
  <si>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</si>
  <si>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</si>
  <si>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</si>
  <si>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</si>
  <si>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</si>
  <si>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</si>
  <si>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</si>
  <si>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</si>
  <si>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</si>
  <si>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</si>
  <si>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</si>
  <si>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</si>
  <si>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</si>
  <si>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</si>
  <si>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</si>
  <si>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</si>
  <si>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</si>
  <si>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</si>
  <si>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</si>
  <si>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</si>
  <si>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</si>
  <si>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</si>
  <si>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</si>
  <si>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</si>
  <si>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</si>
  <si>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</si>
  <si>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</si>
  <si>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</si>
  <si>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</si>
  <si>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</si>
  <si>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</si>
  <si>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</si>
  <si>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</si>
  <si>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</si>
  <si>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</si>
  <si>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</si>
  <si>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</si>
  <si>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</si>
  <si>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</si>
  <si>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</si>
  <si>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</si>
  <si>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</si>
  <si>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</si>
  <si>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</si>
  <si>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</si>
  <si>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</si>
  <si>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</si>
  <si>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</si>
  <si>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</si>
  <si>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</si>
  <si>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</si>
  <si>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</si>
  <si>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</si>
  <si>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</si>
  <si>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</si>
  <si>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</si>
  <si>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</si>
  <si>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</si>
  <si>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</si>
  <si>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</si>
  <si>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</si>
  <si>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</si>
  <si>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</si>
  <si>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</si>
  <si>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</si>
  <si>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</si>
  <si>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</si>
  <si>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</si>
  <si>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</si>
  <si>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</si>
  <si>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</si>
  <si>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</si>
  <si>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</si>
  <si>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</si>
  <si>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</si>
  <si>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</si>
  <si>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</si>
  <si>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</si>
  <si>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</si>
  <si>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</si>
  <si>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</si>
  <si>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</si>
  <si>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</si>
  <si>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</si>
  <si>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</si>
  <si>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</si>
  <si>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</si>
  <si>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</si>
  <si>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</si>
  <si>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</si>
  <si>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</si>
  <si>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</si>
  <si>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</si>
  <si>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</si>
  <si>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</si>
  <si>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</si>
  <si>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</si>
  <si>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</si>
  <si>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</si>
  <si>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</si>
  <si>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</si>
  <si>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</si>
  <si>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</si>
  <si>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</si>
  <si>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</si>
  <si>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</si>
  <si>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</si>
  <si>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</si>
  <si>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</si>
  <si>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</si>
  <si>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</si>
  <si>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</si>
  <si>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</si>
  <si>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</si>
  <si>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</si>
  <si>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</si>
  <si>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</si>
  <si>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</si>
  <si>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</si>
  <si>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</si>
  <si>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</si>
  <si>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</si>
  <si>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</si>
  <si>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</si>
  <si>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</si>
  <si>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</si>
  <si>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</si>
  <si>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</si>
  <si>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</si>
  <si>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</si>
  <si>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</si>
  <si>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</si>
  <si>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</si>
  <si>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</si>
  <si>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</si>
  <si>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</si>
  <si>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</si>
  <si>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</si>
  <si>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</si>
  <si>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</si>
  <si>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</si>
  <si>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</si>
  <si>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</si>
  <si>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</si>
  <si>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</si>
  <si>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</si>
  <si>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</si>
  <si>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</si>
  <si>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</si>
  <si>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</si>
  <si>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</si>
  <si>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</si>
  <si>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</si>
  <si>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</si>
  <si>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</si>
  <si>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</si>
  <si>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</si>
  <si>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</si>
  <si>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</si>
  <si>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</si>
  <si>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</si>
  <si>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</si>
  <si>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</si>
  <si>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</si>
  <si>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</si>
  <si>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</si>
  <si>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</si>
  <si>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</si>
  <si>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</si>
  <si>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</si>
  <si>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</si>
  <si>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</si>
  <si>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</si>
  <si>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</si>
  <si>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</si>
  <si>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</si>
  <si>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</si>
  <si>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</si>
  <si>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</si>
  <si>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</si>
  <si>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</si>
  <si>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</si>
  <si>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</si>
  <si>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</si>
  <si>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</si>
  <si>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</si>
  <si>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</si>
  <si>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</si>
  <si>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</si>
  <si>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</si>
  <si>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</si>
  <si>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</si>
  <si>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</si>
  <si>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</si>
  <si>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</si>
  <si>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</si>
  <si>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</si>
  <si>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</si>
  <si>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</si>
  <si>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</si>
  <si>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</si>
  <si>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</si>
  <si>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</si>
  <si>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</si>
  <si>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</si>
  <si>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</si>
  <si>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</si>
  <si>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</si>
  <si>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</si>
  <si>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</si>
  <si>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</si>
  <si>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</si>
  <si>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</si>
  <si>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</si>
  <si>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</si>
  <si>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</si>
  <si>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</si>
  <si>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</si>
  <si>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</si>
  <si>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</si>
  <si>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</si>
  <si>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</si>
  <si>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</si>
  <si>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</si>
  <si>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</si>
  <si>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</si>
  <si>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</si>
  <si>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</si>
  <si>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</si>
  <si>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</si>
  <si>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</si>
  <si>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</si>
  <si>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</si>
  <si>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</si>
  <si>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</si>
  <si>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</si>
  <si>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</si>
  <si>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</si>
  <si>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</si>
  <si>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</si>
  <si>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</si>
  <si>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</si>
  <si>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</si>
  <si>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</si>
  <si>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</si>
  <si>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</si>
  <si>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</si>
  <si>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</si>
  <si>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</si>
  <si>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</si>
  <si>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</si>
  <si>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</si>
  <si>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</si>
  <si>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</si>
  <si>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</si>
  <si>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</si>
  <si>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</si>
  <si>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</si>
  <si>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</si>
  <si>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</si>
  <si>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</si>
  <si>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</si>
  <si>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</si>
  <si>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</si>
  <si>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</si>
  <si>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</si>
  <si>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</si>
  <si>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</si>
  <si>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</si>
  <si>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</si>
  <si>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</si>
  <si>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</si>
  <si>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</si>
  <si>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</si>
  <si>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</si>
  <si>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</si>
  <si>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</si>
  <si>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</si>
  <si>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</si>
  <si>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</si>
  <si>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</si>
  <si>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</si>
  <si>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</si>
  <si>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</si>
  <si>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</si>
  <si>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</si>
  <si>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</si>
  <si>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</si>
  <si>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</si>
  <si>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</si>
  <si>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</si>
  <si>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</si>
  <si>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</si>
  <si>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</si>
  <si>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</si>
  <si>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</si>
  <si>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</si>
  <si>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</si>
  <si>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</si>
  <si>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</si>
  <si>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</si>
  <si>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</si>
  <si>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</si>
  <si>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</si>
  <si>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</si>
  <si>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</si>
  <si>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</si>
  <si>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</si>
  <si>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</si>
  <si>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</si>
  <si>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</si>
  <si>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</si>
  <si>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</si>
  <si>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</si>
  <si>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</si>
  <si>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</si>
  <si>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</si>
  <si>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</si>
  <si>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</si>
  <si>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</si>
  <si>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</si>
  <si>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</si>
  <si>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</si>
  <si>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</si>
  <si>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</si>
  <si>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</si>
  <si>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</si>
  <si>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</si>
  <si>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</si>
  <si>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</si>
  <si>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</si>
  <si>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</si>
  <si>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</si>
  <si>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</si>
  <si>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</si>
  <si>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</si>
  <si>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</si>
  <si>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</si>
  <si>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</si>
  <si>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</si>
  <si>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</si>
  <si>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</si>
  <si>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</si>
  <si>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</si>
  <si>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</si>
  <si>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</si>
  <si>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</si>
  <si>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</si>
  <si>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</si>
  <si>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</si>
  <si>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</si>
  <si>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</si>
  <si>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</si>
  <si>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</si>
  <si>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</si>
  <si>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</si>
  <si>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</si>
  <si>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</si>
  <si>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</si>
  <si>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</si>
  <si>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</si>
  <si>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</si>
  <si>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</si>
  <si>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</si>
  <si>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</si>
  <si>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</si>
  <si>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</si>
  <si>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</si>
  <si>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</si>
  <si>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</si>
  <si>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</si>
  <si>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</si>
  <si>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</si>
  <si>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</si>
  <si>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</si>
  <si>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</si>
  <si>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</si>
  <si>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</si>
  <si>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</si>
  <si>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</si>
  <si>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</si>
  <si>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</si>
  <si>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</si>
  <si>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</si>
  <si>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</si>
  <si>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</si>
  <si>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</si>
  <si>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</si>
  <si>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</si>
  <si>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</si>
  <si>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</si>
  <si>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</si>
  <si>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</si>
  <si>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</si>
  <si>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</si>
  <si>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</si>
  <si>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</si>
  <si>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</si>
  <si>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</si>
  <si>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</si>
  <si>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</si>
  <si>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</si>
  <si>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</si>
  <si>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</si>
  <si>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</si>
  <si>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</si>
  <si>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</si>
  <si>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</si>
  <si>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</si>
  <si>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</si>
  <si>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</si>
  <si>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</si>
  <si>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</si>
  <si>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</si>
  <si>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</si>
  <si>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</si>
  <si>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</si>
  <si>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</si>
  <si>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</si>
  <si>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</si>
  <si>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</si>
  <si>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</si>
  <si>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</si>
  <si>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</si>
  <si>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</si>
  <si>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</si>
  <si>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</si>
  <si>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</si>
  <si>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</si>
  <si>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</si>
  <si>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</si>
  <si>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</si>
  <si>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</si>
  <si>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</si>
  <si>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</si>
  <si>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</si>
  <si>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</si>
  <si>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</si>
  <si>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</si>
  <si>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</si>
  <si>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</si>
  <si>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</si>
  <si>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</si>
  <si>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</si>
  <si>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</si>
  <si>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</si>
  <si>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</si>
  <si>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</si>
  <si>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</si>
  <si>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</si>
  <si>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</si>
  <si>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</si>
  <si>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</si>
  <si>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</si>
  <si>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</si>
  <si>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</si>
  <si>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</si>
  <si>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</si>
  <si>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</si>
  <si>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</si>
  <si>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</si>
  <si>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</si>
  <si>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</si>
  <si>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</si>
  <si>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</si>
  <si>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</si>
  <si>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</si>
  <si>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</si>
  <si>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</si>
  <si>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</si>
  <si>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</si>
  <si>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</si>
  <si>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</si>
  <si>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</si>
  <si>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</si>
  <si>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</si>
  <si>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</si>
  <si>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</si>
  <si>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</si>
  <si>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</si>
  <si>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</si>
  <si>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</si>
  <si>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</si>
  <si>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</si>
  <si>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</si>
  <si>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</si>
  <si>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</si>
  <si>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</si>
  <si>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</si>
  <si>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</si>
  <si>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</si>
  <si>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</si>
  <si>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</si>
  <si>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</si>
  <si>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</si>
  <si>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</si>
  <si>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</si>
  <si>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</si>
  <si>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</si>
  <si>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</si>
  <si>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</si>
  <si>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</si>
  <si>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</si>
  <si>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</si>
  <si>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</si>
  <si>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</si>
  <si>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</si>
  <si>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</si>
  <si>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</si>
  <si>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</si>
  <si>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</si>
  <si>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</si>
  <si>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</si>
  <si>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</si>
  <si>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</si>
  <si>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</si>
  <si>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</si>
  <si>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</si>
  <si>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</si>
  <si>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</si>
  <si>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</si>
  <si>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</si>
  <si>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</si>
  <si>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</si>
  <si>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</si>
  <si>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</si>
  <si>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</si>
  <si>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</si>
  <si>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</si>
  <si>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</si>
  <si>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</si>
  <si>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</si>
  <si>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</si>
  <si>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</si>
  <si>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</si>
  <si>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</si>
  <si>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</si>
  <si>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</si>
  <si>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</si>
  <si>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</si>
  <si>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</si>
  <si>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</si>
  <si>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</si>
  <si>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</si>
  <si>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</si>
  <si>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</si>
  <si>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</si>
  <si>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</si>
  <si>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</si>
  <si>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</si>
  <si>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</si>
  <si>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</si>
  <si>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</si>
  <si>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</si>
  <si>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</si>
  <si>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</si>
  <si>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</si>
  <si>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</si>
  <si>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</si>
  <si>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</si>
  <si>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</si>
  <si>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</si>
  <si>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</si>
  <si>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</si>
  <si>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</si>
  <si>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</si>
  <si>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</si>
  <si>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</si>
  <si>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</si>
  <si>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</si>
  <si>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</si>
  <si>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</si>
  <si>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</si>
  <si>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</si>
  <si>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</si>
  <si>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</si>
  <si>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</si>
  <si>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</si>
  <si>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</si>
  <si>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</si>
  <si>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</si>
  <si>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</si>
  <si>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</si>
  <si>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</si>
  <si>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</si>
  <si>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</si>
  <si>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</si>
  <si>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</si>
  <si>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</si>
  <si>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</si>
  <si>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</si>
  <si>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</si>
  <si>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</si>
  <si>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</si>
  <si>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</si>
  <si>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</si>
  <si>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</si>
  <si>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</si>
  <si>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</si>
  <si>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</si>
  <si>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</si>
  <si>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</si>
  <si>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</si>
  <si>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</si>
  <si>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</si>
  <si>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</si>
  <si>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</si>
  <si>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</si>
  <si>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</si>
  <si>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</si>
  <si>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</si>
  <si>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</si>
  <si>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</si>
  <si>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</si>
  <si>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</si>
  <si>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</si>
  <si>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</si>
  <si>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</si>
  <si>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</si>
  <si>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</si>
  <si>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</si>
  <si>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</si>
  <si>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</si>
  <si>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</si>
  <si>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</si>
  <si>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</si>
  <si>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</si>
  <si>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</si>
  <si>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</si>
  <si>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</si>
  <si>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</si>
  <si>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</si>
  <si>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</si>
  <si>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</si>
  <si>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</si>
  <si>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</si>
  <si>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</si>
  <si>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</si>
  <si>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</si>
  <si>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</si>
  <si>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</si>
  <si>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</si>
  <si>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</si>
  <si>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</si>
  <si>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</si>
  <si>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</si>
  <si>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</si>
  <si>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</si>
  <si>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</si>
  <si>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</si>
  <si>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</si>
  <si>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</si>
  <si>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</si>
  <si>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</si>
  <si>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</si>
  <si>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</si>
  <si>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</si>
  <si>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</si>
  <si>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</si>
  <si>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</si>
  <si>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</si>
  <si>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</si>
  <si>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</si>
  <si>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</si>
  <si>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</si>
  <si>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</si>
  <si>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</si>
  <si>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</si>
  <si>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</si>
  <si>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</si>
  <si>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</si>
  <si>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</si>
  <si>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</si>
  <si>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</si>
  <si>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</si>
  <si>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</si>
  <si>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</si>
  <si>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</si>
  <si>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</si>
  <si>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</si>
  <si>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</si>
  <si>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</si>
  <si>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</si>
  <si>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</si>
  <si>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</si>
  <si>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</si>
  <si>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</si>
  <si>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</si>
  <si>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</si>
  <si>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</si>
  <si>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</si>
  <si>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</si>
  <si>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</si>
  <si>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</si>
  <si>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</si>
  <si>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</si>
  <si>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</si>
  <si>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</si>
  <si>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</si>
  <si>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</si>
  <si>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</si>
  <si>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</si>
  <si>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</si>
  <si>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</si>
  <si>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</si>
  <si>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</si>
  <si>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</si>
  <si>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</si>
  <si>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</si>
  <si>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</si>
  <si>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</si>
  <si>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</si>
  <si>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</si>
  <si>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</si>
  <si>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</si>
  <si>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</si>
  <si>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</si>
  <si>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</si>
  <si>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</si>
  <si>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</si>
  <si>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</si>
  <si>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</si>
  <si>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</si>
  <si>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</si>
  <si>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</si>
  <si>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</si>
  <si>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</si>
  <si>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</si>
  <si>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</si>
  <si>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</si>
  <si>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</si>
  <si>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</si>
  <si>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</si>
  <si>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</si>
  <si>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</si>
  <si>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</si>
  <si>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</si>
  <si>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</si>
  <si>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</si>
  <si>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</si>
  <si>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</si>
  <si>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</si>
  <si>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</si>
  <si>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</si>
  <si>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</si>
  <si>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</si>
  <si>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</si>
  <si>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</si>
  <si>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</si>
  <si>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</si>
  <si>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</si>
  <si>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</si>
  <si>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</si>
  <si>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</si>
  <si>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</si>
  <si>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</si>
  <si>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</si>
  <si>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</si>
  <si>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</si>
  <si>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</si>
  <si>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</si>
  <si>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</si>
  <si>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</si>
  <si>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</si>
  <si>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</si>
  <si>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</si>
  <si>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</si>
  <si>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</si>
  <si>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</si>
  <si>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</si>
  <si>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</si>
  <si>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</si>
  <si>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</si>
  <si>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</si>
  <si>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</si>
  <si>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</si>
  <si>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</si>
  <si>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</si>
  <si>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</si>
  <si>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</si>
  <si>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</si>
  <si>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</si>
  <si>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</si>
  <si>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</si>
  <si>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</si>
  <si>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</si>
  <si>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</si>
  <si>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</si>
  <si>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</si>
  <si>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</si>
  <si>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</si>
  <si>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</si>
  <si>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</si>
  <si>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</si>
  <si>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</si>
  <si>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</si>
  <si>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</si>
  <si>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</si>
  <si>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</si>
  <si>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</si>
  <si>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</si>
  <si>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</si>
  <si>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</si>
  <si>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</si>
  <si>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</si>
  <si>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</si>
  <si>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</si>
  <si>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</si>
  <si>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</si>
  <si>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</si>
  <si>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</si>
  <si>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</si>
  <si>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</si>
  <si>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</si>
  <si>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</si>
  <si>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</si>
  <si>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</si>
  <si>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</si>
  <si>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</si>
  <si>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</si>
  <si>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</si>
  <si>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</si>
  <si>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</si>
  <si>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</si>
  <si>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</si>
  <si>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</si>
  <si>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</si>
  <si>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</si>
  <si>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</si>
  <si>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</si>
  <si>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</si>
  <si>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</si>
  <si>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</si>
  <si>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</si>
  <si>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</si>
  <si>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</si>
  <si>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</si>
  <si>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</si>
  <si>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</si>
  <si>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</si>
  <si>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</si>
  <si>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</si>
  <si>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</si>
  <si>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</si>
  <si>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</si>
  <si>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</si>
  <si>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</si>
  <si>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</si>
  <si>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</si>
  <si>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</si>
  <si>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</si>
  <si>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</si>
  <si>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</si>
  <si>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</si>
  <si>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</si>
  <si>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</si>
  <si>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</si>
  <si>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</si>
  <si>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</si>
  <si>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</si>
  <si>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</si>
  <si>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</si>
  <si>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</si>
  <si>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</si>
  <si>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</si>
  <si>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</si>
  <si>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</si>
  <si>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</si>
  <si>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</si>
  <si>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</si>
  <si>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</si>
  <si>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</si>
  <si>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</si>
  <si>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</si>
  <si>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</si>
  <si>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</si>
  <si>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</si>
  <si>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</si>
  <si>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</si>
  <si>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</si>
  <si>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</si>
  <si>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</si>
  <si>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</si>
  <si>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</si>
  <si>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</si>
  <si>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</si>
  <si>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</si>
  <si>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</si>
  <si>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</si>
  <si>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</si>
  <si>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</si>
  <si>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</si>
  <si>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</si>
  <si>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</si>
  <si>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</si>
  <si>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</si>
  <si>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</si>
  <si>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</si>
  <si>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</si>
  <si>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</si>
  <si>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</si>
  <si>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</si>
  <si>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</si>
  <si>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</si>
  <si>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</si>
  <si>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</si>
  <si>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</si>
  <si>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</si>
  <si>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</si>
  <si>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</si>
  <si>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</si>
  <si>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</si>
  <si>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</si>
  <si>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</si>
  <si>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</si>
  <si>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</si>
  <si>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</si>
  <si>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</si>
  <si>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</si>
  <si>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</si>
  <si>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</si>
  <si>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</si>
  <si>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</si>
  <si>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</si>
  <si>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</si>
  <si>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</si>
  <si>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</si>
  <si>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</si>
  <si>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</si>
  <si>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</si>
  <si>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</si>
  <si>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</si>
  <si>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</si>
  <si>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</si>
  <si>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</si>
  <si>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</si>
  <si>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</si>
  <si>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</si>
  <si>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</si>
  <si>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</si>
  <si>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</si>
  <si>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</si>
  <si>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</si>
  <si>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</si>
  <si>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</si>
  <si>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</si>
  <si>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</si>
  <si>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</si>
  <si>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</si>
  <si>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</si>
  <si>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</si>
  <si>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</si>
  <si>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</si>
  <si>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</si>
  <si>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</si>
  <si>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</si>
  <si>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</si>
  <si>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</si>
  <si>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</si>
  <si>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</si>
  <si>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</si>
  <si>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</si>
  <si>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</si>
  <si>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</si>
  <si>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</si>
  <si>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</si>
  <si>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</si>
  <si>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</si>
  <si>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</si>
  <si>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</si>
  <si>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</si>
  <si>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</si>
  <si>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</si>
  <si>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</si>
  <si>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</si>
  <si>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</si>
  <si>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</si>
  <si>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</si>
  <si>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</si>
  <si>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</si>
  <si>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</si>
  <si>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</si>
  <si>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</si>
  <si>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</si>
  <si>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</si>
  <si>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</si>
  <si>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</si>
  <si>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</si>
  <si>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</si>
  <si>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</si>
  <si>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</si>
  <si>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</si>
  <si>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</si>
  <si>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</si>
  <si>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</si>
  <si>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</si>
  <si>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</si>
  <si>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</si>
  <si>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</si>
  <si>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</si>
  <si>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</si>
  <si>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</si>
  <si>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</si>
  <si>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</si>
  <si>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</si>
  <si>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</si>
  <si>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</si>
  <si>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</si>
  <si>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</si>
  <si>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</si>
  <si>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</si>
  <si>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</si>
  <si>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</si>
  <si>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</si>
  <si>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</si>
  <si>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</si>
  <si>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</si>
  <si>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</si>
  <si>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</si>
  <si>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</si>
  <si>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</si>
  <si>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</si>
  <si>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</si>
  <si>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</si>
  <si>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</si>
  <si>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</si>
  <si>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</si>
  <si>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</si>
  <si>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</si>
  <si>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</si>
  <si>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</si>
  <si>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</si>
  <si>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</si>
  <si>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</si>
  <si>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</si>
  <si>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</si>
  <si>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</si>
  <si>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</si>
  <si>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</si>
  <si>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</si>
  <si>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</si>
  <si>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</si>
  <si>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</si>
  <si>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</si>
  <si>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</si>
  <si>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</si>
  <si>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</si>
  <si>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</si>
  <si>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</si>
  <si>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</si>
  <si>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</si>
  <si>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</si>
  <si>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</si>
  <si>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</si>
  <si>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</si>
  <si>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</si>
  <si>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</si>
  <si>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</si>
  <si>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</si>
  <si>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</si>
  <si>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</si>
  <si>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</si>
  <si>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</si>
  <si>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</si>
  <si>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</si>
  <si>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</si>
  <si>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</si>
  <si>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</si>
  <si>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</si>
  <si>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</si>
  <si>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</si>
  <si>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</si>
  <si>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</si>
  <si>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</si>
  <si>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</si>
  <si>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</si>
  <si>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</si>
  <si>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</si>
  <si>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</si>
  <si>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</si>
  <si>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</si>
  <si>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</si>
  <si>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</si>
  <si>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</si>
  <si>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</si>
  <si>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</si>
  <si>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</si>
  <si>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</si>
  <si>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</si>
  <si>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</si>
  <si>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</si>
  <si>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</si>
  <si>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</si>
  <si>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</si>
  <si>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</si>
  <si>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</si>
  <si>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</si>
  <si>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</si>
  <si>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</si>
  <si>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</si>
  <si>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</si>
  <si>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</si>
  <si>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</si>
  <si>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</si>
  <si>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</si>
  <si>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</si>
  <si>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</si>
  <si>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</si>
  <si>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</si>
  <si>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</si>
  <si>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</si>
  <si>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</si>
  <si>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</si>
  <si>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</si>
  <si>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</si>
  <si>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</si>
  <si>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</si>
  <si>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</si>
  <si>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</si>
  <si>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</si>
  <si>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</si>
  <si>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</si>
  <si>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</si>
  <si>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</si>
  <si>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</si>
  <si>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</si>
  <si>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</si>
  <si>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</si>
  <si>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</si>
  <si>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</si>
  <si>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</si>
  <si>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</si>
  <si>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</si>
  <si>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</si>
  <si>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</si>
  <si>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</si>
  <si>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</si>
  <si>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</si>
  <si>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</si>
  <si>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</si>
  <si>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</si>
  <si>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</si>
  <si>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</si>
  <si>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</si>
  <si>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</si>
  <si>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</si>
  <si>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</si>
  <si>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</si>
  <si>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</si>
  <si>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</si>
  <si>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</si>
  <si>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</si>
  <si>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</si>
  <si>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</si>
  <si>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</si>
  <si>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</si>
  <si>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</si>
  <si>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</si>
  <si>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</si>
  <si>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</si>
  <si>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</si>
  <si>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</si>
  <si>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</si>
  <si>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</si>
  <si>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</si>
  <si>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</si>
  <si>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</si>
  <si>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</si>
  <si>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</si>
  <si>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</si>
  <si>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</si>
  <si>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</si>
  <si>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</si>
  <si>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</si>
  <si>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</si>
  <si>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</si>
  <si>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</si>
  <si>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</si>
  <si>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</si>
  <si>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</si>
  <si>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</si>
  <si>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</si>
  <si>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</si>
  <si>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</si>
  <si>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</si>
  <si>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</si>
  <si>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</si>
  <si>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</si>
  <si>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</si>
  <si>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</si>
  <si>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</si>
  <si>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</si>
  <si>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</si>
  <si>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</si>
  <si>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</si>
  <si>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</si>
  <si>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</si>
  <si>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</si>
  <si>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</si>
  <si>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</si>
  <si>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</si>
  <si>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</si>
  <si>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</si>
  <si>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</si>
  <si>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</si>
  <si>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</si>
  <si>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</si>
  <si>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</si>
  <si>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</si>
  <si>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</si>
  <si>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</si>
  <si>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</si>
  <si>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</si>
  <si>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</si>
  <si>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</si>
  <si>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</si>
  <si>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</si>
  <si>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</si>
  <si>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</si>
  <si>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</si>
  <si>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</si>
  <si>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</si>
  <si>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</si>
  <si>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</si>
  <si>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</si>
  <si>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</si>
  <si>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</si>
  <si>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</si>
  <si>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</si>
  <si>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</si>
  <si>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</si>
  <si>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</si>
  <si>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</si>
  <si>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</si>
  <si>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</si>
  <si>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</si>
  <si>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</si>
  <si>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</si>
  <si>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</si>
  <si>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</si>
  <si>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</si>
  <si>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</si>
  <si>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</si>
  <si>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</si>
  <si>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</si>
  <si>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</si>
  <si>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</si>
  <si>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</si>
  <si>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</si>
  <si>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</si>
  <si>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</si>
  <si>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</si>
  <si>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</si>
  <si>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</si>
  <si>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</si>
  <si>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</si>
  <si>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</si>
  <si>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</si>
  <si>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</si>
  <si>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</si>
  <si>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</si>
  <si>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</si>
  <si>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</si>
  <si>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</si>
  <si>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</si>
  <si>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</si>
  <si>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</si>
  <si>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</si>
  <si>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</si>
  <si>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</si>
  <si>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</si>
  <si>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</si>
  <si>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</si>
  <si>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</si>
  <si>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</si>
  <si>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</si>
  <si>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</si>
  <si>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</si>
  <si>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</si>
  <si>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</si>
  <si>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</si>
  <si>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</si>
  <si>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</si>
  <si>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</si>
  <si>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</si>
  <si>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</si>
  <si>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</si>
  <si>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</si>
  <si>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</si>
  <si>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</si>
  <si>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</si>
  <si>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</si>
  <si>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</si>
  <si>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</si>
  <si>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</si>
  <si>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</si>
  <si>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</si>
  <si>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</si>
  <si>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</si>
  <si>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</si>
  <si>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</si>
  <si>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</si>
  <si>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</si>
  <si>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</si>
  <si>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</si>
  <si>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</si>
  <si>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</si>
  <si>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</si>
  <si>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</si>
  <si>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</si>
  <si>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</si>
  <si>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</si>
  <si>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</si>
  <si>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</si>
  <si>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</si>
  <si>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</si>
  <si>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</si>
  <si>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</si>
  <si>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</si>
  <si>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</si>
  <si>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</si>
  <si>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</si>
  <si>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</si>
  <si>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</si>
  <si>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</si>
  <si>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</si>
  <si>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</si>
  <si>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</si>
  <si>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</si>
  <si>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</si>
  <si>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</si>
  <si>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</si>
  <si>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</si>
  <si>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</si>
  <si>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</si>
  <si>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</si>
  <si>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</si>
  <si>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</si>
  <si>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</si>
  <si>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</si>
  <si>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</si>
  <si>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</si>
  <si>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</si>
  <si>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</si>
  <si>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</si>
  <si>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</si>
  <si>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</si>
  <si>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</si>
  <si>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</si>
  <si>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</si>
  <si>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</si>
  <si>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</si>
  <si>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</si>
  <si>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</si>
  <si>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</si>
  <si>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</si>
  <si>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</si>
  <si>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</si>
  <si>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</si>
  <si>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</si>
  <si>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</si>
  <si>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</si>
  <si>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</si>
  <si>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</si>
  <si>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</si>
  <si>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</si>
  <si>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</si>
  <si>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</si>
  <si>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</si>
  <si>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</si>
  <si>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</si>
  <si>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</si>
  <si>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</si>
  <si>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</si>
  <si>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</si>
  <si>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</si>
  <si>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</si>
  <si>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</si>
  <si>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</si>
  <si>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</si>
  <si>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</si>
  <si>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</si>
  <si>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</si>
  <si>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</si>
  <si>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</si>
  <si>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</si>
  <si>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</si>
  <si>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</si>
  <si>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</si>
  <si>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</si>
  <si>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</si>
  <si>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</si>
  <si>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</si>
  <si>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</si>
  <si>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</si>
  <si>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</si>
  <si>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</si>
  <si>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</si>
  <si>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</si>
  <si>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</si>
  <si>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</si>
  <si>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</si>
  <si>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</si>
  <si>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</si>
  <si>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</si>
  <si>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</si>
  <si>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</si>
  <si>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</si>
  <si>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</si>
  <si>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</si>
  <si>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</si>
  <si>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</si>
  <si>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</si>
  <si>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</si>
  <si>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</si>
  <si>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</si>
  <si>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</si>
  <si>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</si>
  <si>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</si>
  <si>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</si>
  <si>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</si>
  <si>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</si>
  <si>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</si>
  <si>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</si>
  <si>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</si>
  <si>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</si>
  <si>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</si>
  <si>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</si>
  <si>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</si>
  <si>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</si>
  <si>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</si>
  <si>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</si>
  <si>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</si>
  <si>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</si>
  <si>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</si>
  <si>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</si>
  <si>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</si>
  <si>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</si>
  <si>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</si>
  <si>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</si>
  <si>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</si>
  <si>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</si>
  <si>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</si>
  <si>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</si>
  <si>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</si>
  <si>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</si>
  <si>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</si>
  <si>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</si>
  <si>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</si>
  <si>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</si>
  <si>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</si>
  <si>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</si>
  <si>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</si>
  <si>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</si>
  <si>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</si>
  <si>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</si>
  <si>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</si>
  <si>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</si>
  <si>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</si>
  <si>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</si>
  <si>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</si>
  <si>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</si>
  <si>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</si>
  <si>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</si>
  <si>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</si>
  <si>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</si>
  <si>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</si>
  <si>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</si>
  <si>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</si>
  <si>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</si>
  <si>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</si>
  <si>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</si>
  <si>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</si>
  <si>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</si>
  <si>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</si>
  <si>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</si>
  <si>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</si>
  <si>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</si>
  <si>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</si>
  <si>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</si>
  <si>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</si>
  <si>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</si>
  <si>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</si>
  <si>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</si>
  <si>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</si>
  <si>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</si>
  <si>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</si>
  <si>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</si>
  <si>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</si>
  <si>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</si>
  <si>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</si>
  <si>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</si>
  <si>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</si>
  <si>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</si>
  <si>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</si>
  <si>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</si>
  <si>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</si>
  <si>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</si>
  <si>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</si>
  <si>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</si>
  <si>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</si>
  <si>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</si>
  <si>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</si>
  <si>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</si>
  <si>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</si>
  <si>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</si>
  <si>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</si>
  <si>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</si>
  <si>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</si>
  <si>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</si>
  <si>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</si>
  <si>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</si>
  <si>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</si>
  <si>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</si>
  <si>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</si>
  <si>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</si>
  <si>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</si>
  <si>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</si>
  <si>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</si>
  <si>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</si>
  <si>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</si>
  <si>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</si>
  <si>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</si>
  <si>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</si>
  <si>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</si>
  <si>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</si>
  <si>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</si>
  <si>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</si>
  <si>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</si>
  <si>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</si>
  <si>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</si>
  <si>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</si>
  <si>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</si>
  <si>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</si>
  <si>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</si>
  <si>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</si>
  <si>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</si>
  <si>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</si>
  <si>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</si>
  <si>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</si>
  <si>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</si>
  <si>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</si>
  <si>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</si>
  <si>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</si>
  <si>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</si>
  <si>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</si>
  <si>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</si>
  <si>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</si>
  <si>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</si>
  <si>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</si>
  <si>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</si>
  <si>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</si>
  <si>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</si>
  <si>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</si>
  <si>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</si>
  <si>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</si>
  <si>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</si>
  <si>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</si>
  <si>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</si>
  <si>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</si>
  <si>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</si>
  <si>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</si>
  <si>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</si>
  <si>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</si>
  <si>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</si>
  <si>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</si>
  <si>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</si>
  <si>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</si>
  <si>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</si>
  <si>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</si>
  <si>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</si>
  <si>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</si>
  <si>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</si>
  <si>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</si>
  <si>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</si>
  <si>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</si>
  <si>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</si>
  <si>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</si>
  <si>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</si>
  <si>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</si>
  <si>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</si>
  <si>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</si>
  <si>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</si>
  <si>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</si>
  <si>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</si>
  <si>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</si>
  <si>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</si>
  <si>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</si>
  <si>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</si>
  <si>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</si>
  <si>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</si>
  <si>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</si>
  <si>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</si>
  <si>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</si>
  <si>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</si>
  <si>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</si>
  <si>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</si>
  <si>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</si>
  <si>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</si>
  <si>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</si>
  <si>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</si>
  <si>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</si>
  <si>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</si>
  <si>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</si>
  <si>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</si>
  <si>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</si>
  <si>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</si>
  <si>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</si>
  <si>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</si>
  <si>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</si>
  <si>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</si>
  <si>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</si>
  <si>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</si>
  <si>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</si>
  <si>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</si>
  <si>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</si>
  <si>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</si>
  <si>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</si>
  <si>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</si>
  <si>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</si>
  <si>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</si>
  <si>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</si>
  <si>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</si>
  <si>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</si>
  <si>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</si>
  <si>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</si>
  <si>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</si>
  <si>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</si>
  <si>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</si>
  <si>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</si>
  <si>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</si>
  <si>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</si>
  <si>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</si>
  <si>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</si>
  <si>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</si>
  <si>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</si>
  <si>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</si>
  <si>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</si>
  <si>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</si>
  <si>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</si>
  <si>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</si>
  <si>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</si>
  <si>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</si>
  <si>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</si>
  <si>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</si>
  <si>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</si>
  <si>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</si>
  <si>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</si>
  <si>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</si>
  <si>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</si>
  <si>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</si>
  <si>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</si>
  <si>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</si>
  <si>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</si>
  <si>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</si>
  <si>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</si>
  <si>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</si>
  <si>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</si>
  <si>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</si>
  <si>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</si>
  <si>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</si>
  <si>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</si>
  <si>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</si>
  <si>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</si>
  <si>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</si>
  <si>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</si>
  <si>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</si>
  <si>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</si>
  <si>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</si>
  <si>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</si>
  <si>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</si>
  <si>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</si>
  <si>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</si>
  <si>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</si>
  <si>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</si>
  <si>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</si>
  <si>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</si>
  <si>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</si>
  <si>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</si>
  <si>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</si>
  <si>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</si>
  <si>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</si>
  <si>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</si>
  <si>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</si>
  <si>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</si>
  <si>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</si>
  <si>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</si>
  <si>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</si>
  <si>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</si>
  <si>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</si>
  <si>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</si>
  <si>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</si>
  <si>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</si>
  <si>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</si>
  <si>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</si>
  <si>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</si>
  <si>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</si>
  <si>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</si>
  <si>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</si>
  <si>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</si>
  <si>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</si>
  <si>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</si>
  <si>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</si>
  <si>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</si>
  <si>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</si>
  <si>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</si>
  <si>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</si>
  <si>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</si>
  <si>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</si>
  <si>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</si>
  <si>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</si>
  <si>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</si>
  <si>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</si>
  <si>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</si>
  <si>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</si>
  <si>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</si>
  <si>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</si>
  <si>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</si>
  <si>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</si>
  <si>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</si>
  <si>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</si>
  <si>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</si>
  <si>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</si>
  <si>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</si>
  <si>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</si>
  <si>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</si>
  <si>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</si>
  <si>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</si>
  <si>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</si>
  <si>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</si>
  <si>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</si>
  <si>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</si>
  <si>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</si>
  <si>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</si>
  <si>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</si>
  <si>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</si>
  <si>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</si>
  <si>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</si>
  <si>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</si>
  <si>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</si>
  <si>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</si>
  <si>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</si>
  <si>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</si>
  <si>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</si>
  <si>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</si>
  <si>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</si>
  <si>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</si>
  <si>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</si>
  <si>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</si>
  <si>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</si>
  <si>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</si>
  <si>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</si>
  <si>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</si>
  <si>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</si>
  <si>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</si>
  <si>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</si>
  <si>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</si>
  <si>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</si>
  <si>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</si>
  <si>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</si>
  <si>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</si>
  <si>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</si>
  <si>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</si>
  <si>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</si>
  <si>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</si>
  <si>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</si>
  <si>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</si>
  <si>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</si>
  <si>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</si>
  <si>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</si>
  <si>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</si>
  <si>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</si>
  <si>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</si>
  <si>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</si>
  <si>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</si>
  <si>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</si>
  <si>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</si>
  <si>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</si>
  <si>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</si>
  <si>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</si>
  <si>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</si>
  <si>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</si>
  <si>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</si>
  <si>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</si>
  <si>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</si>
  <si>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</si>
  <si>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</si>
  <si>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</si>
  <si>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</si>
  <si>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</si>
  <si>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</si>
  <si>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</si>
  <si>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</si>
  <si>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</si>
  <si>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</si>
  <si>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</si>
  <si>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</si>
  <si>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</si>
  <si>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</si>
  <si>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</si>
  <si>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</si>
  <si>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</si>
  <si>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</si>
  <si>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</si>
  <si>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</si>
  <si>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</si>
  <si>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</si>
  <si>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</si>
  <si>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</si>
  <si>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</si>
  <si>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</si>
  <si>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</si>
  <si>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</si>
  <si>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</si>
  <si>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</si>
  <si>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</si>
  <si>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</si>
  <si>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</si>
  <si>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</si>
  <si>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</si>
  <si>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</si>
  <si>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</si>
  <si>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</si>
  <si>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</si>
  <si>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</si>
  <si>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</si>
  <si>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</si>
  <si>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</si>
  <si>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</si>
  <si>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</si>
  <si>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</si>
  <si>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</si>
  <si>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</si>
  <si>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</si>
  <si>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</si>
  <si>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</si>
  <si>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</si>
  <si>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</si>
  <si>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</si>
  <si>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</si>
  <si>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</si>
  <si>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</si>
  <si>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</si>
  <si>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</si>
  <si>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</si>
  <si>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</si>
  <si>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</si>
  <si>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</si>
  <si>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</si>
  <si>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</si>
  <si>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</si>
  <si>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</si>
  <si>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</si>
  <si>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</si>
  <si>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</si>
  <si>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</si>
  <si>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</si>
  <si>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</si>
  <si>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</si>
  <si>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</si>
  <si>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</si>
  <si>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</si>
  <si>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</si>
  <si>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</si>
  <si>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</si>
  <si>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</si>
  <si>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</si>
  <si>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</si>
  <si>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</si>
  <si>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</si>
  <si>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</si>
  <si>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</si>
  <si>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</si>
  <si>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</si>
  <si>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</si>
  <si>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</si>
  <si>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</si>
  <si>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</si>
  <si>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</si>
  <si>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</si>
  <si>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</si>
  <si>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</si>
  <si>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</si>
  <si>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</si>
  <si>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</si>
  <si>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</si>
  <si>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</si>
  <si>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</si>
  <si>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</si>
  <si>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</si>
  <si>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</si>
  <si>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</si>
  <si>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</si>
  <si>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</si>
  <si>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</si>
  <si>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</si>
  <si>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</si>
  <si>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</si>
  <si>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</si>
  <si>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</si>
  <si>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</si>
  <si>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</si>
  <si>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</si>
  <si>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</si>
  <si>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</si>
  <si>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</si>
  <si>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</si>
  <si>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</si>
  <si>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</si>
  <si>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</si>
  <si>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</si>
  <si>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</si>
  <si>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</si>
  <si>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</si>
  <si>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</si>
  <si>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</si>
  <si>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</si>
  <si>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</si>
  <si>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</si>
  <si>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</si>
  <si>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</si>
  <si>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</si>
  <si>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</si>
  <si>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</si>
  <si>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</si>
  <si>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</si>
  <si>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</si>
  <si>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</si>
  <si>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</si>
  <si>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</si>
  <si>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</si>
  <si>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</si>
  <si>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</si>
  <si>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</si>
  <si>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</si>
  <si>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</si>
  <si>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</si>
  <si>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</si>
  <si>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</si>
  <si>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</si>
  <si>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</si>
  <si>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</si>
  <si>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</si>
  <si>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</si>
  <si>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</si>
  <si>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</si>
  <si>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</si>
  <si>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</si>
  <si>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</si>
  <si>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</si>
  <si>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</si>
  <si>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</si>
  <si>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</si>
  <si>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</si>
  <si>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</si>
  <si>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</si>
  <si>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</si>
  <si>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</si>
  <si>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</si>
  <si>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</si>
  <si>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</si>
  <si>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</si>
  <si>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</si>
  <si>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</si>
  <si>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</si>
  <si>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</si>
  <si>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</si>
  <si>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</si>
  <si>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</si>
  <si>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</si>
  <si>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</si>
  <si>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</si>
  <si>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</si>
  <si>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</si>
  <si>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</si>
  <si>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</si>
  <si>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</si>
  <si>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</si>
  <si>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</si>
  <si>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</si>
  <si>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</si>
  <si>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</si>
  <si>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</si>
  <si>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</si>
  <si>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</si>
  <si>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</si>
  <si>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</si>
  <si>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</si>
  <si>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</si>
  <si>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</si>
  <si>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</si>
  <si>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</si>
  <si>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</si>
  <si>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</si>
  <si>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</si>
  <si>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</si>
  <si>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</si>
  <si>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</si>
  <si>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</si>
  <si>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</si>
  <si>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</si>
  <si>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</si>
  <si>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</si>
  <si>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</si>
  <si>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</si>
  <si>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</si>
  <si>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</si>
  <si>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</si>
  <si>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</si>
  <si>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</si>
  <si>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</si>
  <si>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</si>
  <si>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</si>
  <si>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</si>
  <si>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</si>
  <si>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</si>
  <si>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</si>
  <si>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</si>
  <si>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</si>
  <si>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</si>
  <si>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</si>
  <si>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</si>
  <si>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</si>
  <si>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</si>
  <si>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</si>
  <si>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</si>
  <si>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</si>
  <si>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</si>
  <si>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</si>
  <si>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</si>
  <si>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</si>
  <si>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</si>
  <si>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</si>
  <si>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</si>
  <si>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</si>
  <si>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</si>
  <si>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</si>
  <si>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</si>
  <si>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</si>
  <si>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</si>
  <si>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</si>
  <si>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</si>
  <si>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</si>
  <si>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</si>
  <si>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</si>
  <si>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</si>
  <si>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</si>
  <si>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</si>
  <si>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</si>
  <si>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</si>
  <si>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</si>
  <si>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</si>
  <si>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</si>
  <si>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</si>
  <si>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</si>
  <si>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</si>
  <si>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</si>
  <si>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</si>
  <si>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</si>
  <si>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</si>
  <si>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</si>
  <si>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</si>
  <si>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</si>
  <si>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</si>
  <si>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</si>
  <si>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</si>
  <si>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</si>
  <si>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</si>
  <si>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</si>
  <si>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</si>
  <si>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</si>
  <si>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</si>
  <si>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</si>
  <si>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</si>
  <si>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</si>
  <si>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</si>
  <si>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</si>
  <si>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</si>
  <si>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</si>
  <si>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</si>
  <si>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</si>
  <si>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</si>
  <si>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</si>
  <si>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</si>
  <si>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</si>
  <si>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</si>
  <si>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</si>
  <si>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</si>
  <si>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</si>
  <si>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</si>
  <si>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</si>
  <si>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</si>
  <si>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</si>
  <si>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</si>
  <si>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</si>
  <si>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</si>
  <si>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</si>
  <si>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</si>
  <si>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</si>
  <si>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</si>
  <si>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</si>
  <si>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</si>
  <si>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</si>
  <si>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</si>
  <si>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</si>
  <si>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</si>
  <si>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</si>
  <si>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</si>
  <si>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</si>
  <si>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</si>
  <si>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</si>
  <si>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</si>
  <si>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</si>
  <si>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</si>
  <si>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</si>
  <si>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</si>
  <si>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</si>
  <si>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</si>
  <si>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</si>
  <si>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</si>
  <si>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</si>
  <si>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</si>
  <si>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</si>
  <si>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</si>
  <si>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</si>
  <si>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</si>
  <si>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</si>
  <si>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</si>
  <si>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</si>
  <si>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</si>
  <si>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</si>
  <si>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</si>
  <si>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</si>
  <si>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</si>
  <si>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</si>
  <si>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</si>
  <si>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</si>
  <si>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</si>
  <si>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</si>
  <si>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</si>
  <si>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</si>
  <si>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</si>
  <si>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</si>
  <si>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</si>
  <si>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</si>
  <si>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</si>
  <si>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</si>
  <si>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</si>
  <si>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</si>
  <si>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</si>
  <si>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</si>
  <si>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</si>
  <si>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</si>
  <si>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</si>
  <si>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</si>
  <si>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</si>
  <si>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</si>
  <si>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</si>
  <si>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</si>
  <si>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</si>
  <si>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</si>
  <si>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</si>
  <si>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</si>
  <si>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</si>
  <si>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</si>
  <si>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</si>
  <si>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</si>
  <si>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</si>
  <si>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</si>
  <si>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</si>
  <si>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</si>
  <si>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</si>
  <si>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</si>
  <si>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</si>
  <si>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</si>
  <si>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</si>
  <si>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</si>
  <si>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</si>
  <si>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</si>
  <si>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</si>
  <si>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</si>
  <si>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</si>
  <si>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</si>
  <si>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</si>
  <si>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</si>
  <si>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</si>
  <si>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</si>
  <si>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</si>
  <si>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</si>
  <si>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</si>
  <si>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</si>
  <si>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</si>
  <si>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</si>
  <si>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</si>
  <si>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</si>
  <si>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</si>
  <si>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</si>
  <si>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</si>
  <si>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</si>
  <si>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</si>
  <si>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</si>
  <si>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</si>
  <si>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</si>
  <si>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</si>
  <si>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</si>
  <si>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</si>
  <si>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</si>
  <si>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</si>
  <si>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</si>
  <si>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</si>
  <si>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</si>
  <si>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</si>
  <si>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</si>
  <si>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</si>
  <si>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</si>
  <si>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</si>
  <si>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</si>
  <si>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</si>
  <si>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</si>
  <si>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</si>
  <si>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</si>
  <si>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</si>
  <si>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</si>
  <si>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</si>
  <si>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</si>
  <si>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</si>
  <si>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</si>
  <si>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</si>
  <si>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</si>
  <si>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</si>
  <si>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</si>
  <si>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</si>
  <si>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</si>
  <si>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</si>
  <si>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</si>
  <si>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</si>
  <si>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</si>
  <si>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</si>
  <si>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</si>
  <si>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</si>
  <si>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</si>
  <si>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</si>
  <si>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</si>
  <si>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</si>
  <si>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</si>
  <si>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</si>
  <si>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</si>
  <si>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</si>
  <si>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</si>
  <si>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</si>
  <si>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</si>
  <si>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</si>
  <si>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</si>
  <si>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</si>
  <si>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</si>
  <si>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</si>
  <si>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</si>
  <si>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</si>
  <si>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</si>
  <si>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</si>
  <si>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</si>
  <si>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</si>
  <si>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</si>
  <si>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</si>
  <si>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</si>
  <si>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</si>
  <si>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</si>
  <si>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</si>
  <si>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</si>
  <si>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</si>
  <si>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</si>
  <si>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</si>
  <si>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</si>
  <si>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</si>
  <si>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</si>
  <si>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</si>
  <si>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</si>
  <si>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</si>
  <si>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</si>
  <si>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</si>
  <si>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</si>
  <si>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</si>
  <si>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</si>
  <si>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</si>
  <si>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</si>
  <si>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</si>
  <si>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</si>
  <si>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</si>
  <si>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</si>
  <si>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</si>
  <si>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</si>
  <si>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</si>
  <si>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</si>
  <si>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</si>
  <si>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</si>
  <si>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</si>
  <si>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</si>
  <si>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</si>
  <si>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</si>
  <si>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</si>
  <si>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</si>
  <si>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</si>
  <si>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</si>
  <si>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</si>
  <si>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</si>
  <si>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</si>
  <si>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</si>
  <si>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</si>
  <si>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</si>
  <si>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</si>
  <si>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</si>
  <si>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</si>
  <si>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</si>
  <si>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</si>
  <si>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</si>
  <si>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</si>
  <si>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</si>
  <si>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</si>
  <si>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</si>
  <si>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</si>
  <si>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</si>
  <si>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</si>
  <si>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</si>
  <si>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</si>
  <si>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</si>
  <si>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</si>
  <si>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</si>
  <si>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</si>
  <si>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</si>
  <si>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</si>
  <si>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</si>
  <si>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</si>
  <si>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</si>
  <si>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</si>
  <si>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</si>
  <si>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</si>
  <si>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</si>
  <si>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</si>
  <si>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</si>
  <si>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</si>
  <si>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</si>
  <si>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</si>
  <si>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</si>
  <si>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</si>
  <si>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</si>
  <si>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</si>
  <si>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</si>
  <si>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</si>
  <si>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</si>
  <si>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</si>
  <si>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</si>
  <si>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</si>
  <si>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</si>
  <si>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</si>
  <si>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</si>
  <si>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</si>
  <si>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</si>
  <si>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</si>
  <si>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</si>
  <si>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</si>
  <si>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</si>
  <si>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</si>
  <si>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</si>
  <si>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</si>
  <si>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</si>
  <si>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</si>
  <si>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</si>
  <si>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</si>
  <si>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</si>
  <si>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</si>
  <si>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</si>
  <si>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</si>
  <si>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</si>
  <si>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</si>
  <si>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</si>
  <si>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</si>
  <si>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</si>
  <si>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</si>
  <si>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</si>
  <si>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</si>
  <si>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</si>
  <si>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</si>
  <si>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</si>
  <si>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</si>
  <si>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</si>
  <si>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</si>
  <si>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</si>
  <si>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</si>
  <si>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</si>
  <si>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</si>
  <si>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</si>
  <si>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</si>
  <si>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</si>
  <si>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</si>
  <si>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</si>
  <si>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</si>
  <si>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</si>
  <si>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</si>
  <si>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</si>
  <si>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</si>
  <si>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</si>
  <si>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</si>
  <si>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</si>
  <si>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</si>
  <si>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</si>
  <si>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</si>
  <si>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</si>
  <si>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</si>
  <si>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</si>
  <si>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</si>
  <si>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</si>
  <si>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</si>
  <si>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</si>
  <si>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</si>
  <si>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</si>
  <si>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</si>
  <si>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</si>
  <si>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</si>
  <si>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</si>
  <si>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</si>
  <si>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</si>
  <si>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</si>
  <si>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</si>
  <si>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</si>
  <si>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</si>
  <si>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</si>
  <si>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</si>
  <si>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</si>
  <si>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</si>
  <si>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</si>
  <si>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</si>
  <si>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</si>
  <si>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</si>
  <si>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</si>
  <si>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</si>
  <si>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</si>
  <si>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</si>
  <si>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</si>
  <si>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</si>
  <si>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</si>
  <si>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</si>
  <si>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</si>
  <si>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</si>
  <si>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</si>
  <si>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</si>
  <si>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</si>
  <si>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</si>
  <si>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</si>
  <si>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</si>
  <si>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</si>
  <si>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</si>
  <si>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</si>
  <si>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</si>
  <si>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</si>
  <si>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</si>
  <si>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</si>
  <si>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</si>
  <si>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</si>
  <si>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</si>
  <si>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</si>
  <si>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</si>
  <si>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</si>
  <si>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</si>
  <si>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</si>
  <si>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</si>
  <si>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</si>
  <si>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</si>
  <si>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</si>
  <si>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</si>
  <si>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</si>
  <si>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</si>
  <si>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</si>
  <si>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</si>
  <si>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</si>
  <si>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</si>
  <si>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</si>
  <si>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</si>
  <si>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</si>
  <si>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</si>
  <si>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</si>
  <si>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</si>
  <si>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</si>
  <si>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</si>
  <si>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</si>
  <si>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</si>
  <si>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</si>
  <si>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</si>
  <si>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</si>
  <si>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</si>
  <si>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</si>
  <si>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</si>
  <si>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</si>
  <si>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</si>
  <si>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</si>
  <si>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</si>
  <si>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</si>
  <si>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</si>
  <si>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</si>
  <si>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</si>
  <si>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</si>
  <si>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</si>
  <si>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</si>
  <si>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</si>
  <si>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</si>
  <si>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</si>
  <si>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</si>
  <si>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</si>
  <si>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</si>
  <si>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</si>
  <si>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</si>
  <si>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</si>
  <si>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</si>
  <si>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</si>
  <si>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</si>
  <si>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</si>
  <si>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</si>
  <si>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</si>
  <si>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</si>
  <si>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</si>
  <si>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</si>
  <si>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</si>
  <si>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</si>
  <si>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</si>
  <si>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</si>
  <si>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</si>
  <si>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</si>
  <si>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</si>
  <si>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</si>
  <si>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</si>
  <si>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</si>
  <si>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</si>
  <si>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</si>
  <si>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</si>
  <si>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</si>
  <si>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</si>
  <si>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</si>
  <si>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</si>
  <si>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</si>
  <si>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</si>
  <si>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</si>
  <si>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</si>
  <si>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</si>
  <si>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</si>
  <si>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</si>
  <si>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</si>
  <si>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</si>
  <si>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</si>
  <si>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</si>
  <si>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</si>
  <si>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</si>
  <si>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</si>
  <si>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</si>
  <si>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</si>
  <si>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</si>
  <si>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</si>
  <si>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</si>
  <si>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</si>
  <si>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</si>
  <si>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</si>
  <si>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</si>
  <si>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</si>
  <si>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</si>
  <si>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</si>
  <si>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</si>
  <si>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</si>
  <si>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</si>
  <si>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</si>
  <si>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</si>
  <si>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</si>
  <si>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</si>
  <si>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</si>
  <si>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</si>
  <si>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</si>
  <si>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</si>
  <si>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</si>
  <si>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</si>
  <si>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</si>
  <si>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</si>
  <si>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</si>
  <si>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</si>
  <si>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</si>
  <si>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</si>
  <si>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</si>
  <si>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</si>
  <si>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</si>
  <si>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</si>
  <si>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</si>
  <si>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</si>
  <si>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</si>
  <si>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</si>
  <si>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</si>
  <si>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</si>
  <si>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</si>
  <si>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</si>
  <si>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</si>
  <si>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</si>
  <si>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</si>
  <si>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</si>
  <si>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</si>
  <si>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</si>
  <si>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</si>
  <si>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</si>
  <si>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</si>
  <si>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</si>
  <si>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</si>
  <si>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</si>
  <si>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</si>
  <si>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</si>
  <si>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</si>
  <si>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</si>
  <si>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</si>
  <si>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</si>
  <si>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</si>
  <si>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</si>
  <si>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</si>
  <si>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</si>
  <si>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</si>
  <si>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</si>
  <si>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</si>
  <si>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</si>
  <si>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</si>
  <si>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</si>
  <si>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</si>
  <si>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</si>
  <si>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</si>
  <si>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</si>
  <si>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</si>
  <si>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</si>
  <si>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</si>
  <si>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</si>
  <si>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</si>
  <si>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</si>
  <si>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</si>
  <si>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</si>
  <si>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</si>
  <si>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</si>
  <si>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</si>
  <si>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</si>
  <si>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</si>
  <si>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</si>
  <si>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</si>
  <si>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</si>
  <si>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</si>
  <si>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</si>
  <si>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</si>
  <si>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</si>
  <si>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</si>
  <si>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</si>
  <si>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</si>
  <si>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</si>
  <si>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</si>
  <si>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</si>
  <si>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</si>
  <si>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</si>
  <si>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</si>
  <si>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</si>
  <si>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</si>
  <si>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</si>
  <si>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</si>
  <si>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</si>
  <si>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</si>
  <si>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</si>
  <si>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</si>
  <si>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</si>
  <si>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</si>
  <si>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</si>
  <si>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</si>
  <si>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</si>
  <si>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</si>
  <si>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</si>
  <si>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</si>
  <si>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</si>
  <si>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</si>
  <si>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</si>
  <si>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</si>
  <si>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</si>
  <si>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</si>
  <si>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</si>
  <si>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</si>
  <si>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</si>
  <si>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</si>
  <si>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</si>
  <si>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</si>
  <si>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</si>
  <si>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</si>
  <si>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</si>
  <si>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</si>
  <si>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</si>
  <si>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</si>
  <si>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</si>
  <si>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</si>
  <si>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</si>
  <si>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</si>
  <si>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</si>
  <si>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</si>
  <si>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</si>
  <si>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</si>
  <si>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</si>
  <si>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</si>
  <si>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</si>
  <si>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</si>
  <si>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</si>
  <si>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</si>
  <si>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</si>
  <si>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</si>
  <si>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</si>
  <si>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</si>
  <si>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</si>
  <si>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</si>
  <si>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</si>
  <si>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</si>
  <si>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</si>
  <si>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</si>
  <si>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</si>
  <si>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</si>
  <si>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</si>
  <si>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</si>
  <si>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</si>
  <si>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</si>
  <si>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</si>
  <si>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</si>
  <si>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</si>
  <si>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</si>
  <si>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</si>
  <si>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</si>
  <si>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</si>
  <si>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</si>
  <si>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</si>
  <si>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</si>
  <si>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</si>
  <si>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</si>
  <si>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</si>
  <si>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</si>
  <si>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</si>
  <si>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</si>
  <si>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</si>
  <si>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</si>
  <si>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</si>
  <si>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</si>
  <si>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</si>
  <si>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</si>
  <si>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</si>
  <si>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</si>
  <si>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</si>
  <si>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</si>
  <si>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</si>
  <si>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</si>
  <si>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</si>
  <si>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</si>
  <si>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</si>
  <si>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</si>
  <si>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</si>
  <si>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</si>
  <si>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</si>
  <si>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</si>
  <si>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</si>
  <si>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</si>
  <si>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</si>
  <si>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</si>
  <si>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</si>
  <si>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</si>
  <si>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</si>
  <si>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</si>
  <si>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</si>
  <si>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</si>
  <si>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</si>
  <si>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</si>
  <si>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</si>
  <si>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</si>
  <si>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</si>
  <si>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</si>
  <si>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</si>
  <si>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</si>
  <si>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</si>
  <si>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</si>
  <si>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</si>
  <si>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</si>
  <si>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</si>
  <si>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</si>
  <si>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</si>
  <si>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</si>
  <si>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</si>
  <si>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</si>
  <si>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</si>
  <si>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</si>
  <si>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</si>
  <si>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</si>
  <si>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</si>
  <si>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</si>
  <si>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</si>
  <si>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</si>
  <si>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</si>
  <si>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</si>
  <si>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</si>
  <si>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</si>
  <si>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</si>
  <si>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</si>
  <si>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</si>
  <si>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</si>
  <si>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</si>
  <si>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</si>
  <si>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</si>
  <si>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</si>
  <si>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</si>
  <si>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</si>
  <si>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</si>
  <si>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</si>
  <si>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</si>
  <si>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</si>
  <si>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</si>
  <si>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</si>
  <si>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</si>
  <si>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</si>
  <si>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</si>
  <si>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</si>
  <si>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</si>
  <si>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</si>
  <si>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</si>
  <si>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</si>
  <si>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</si>
  <si>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</si>
  <si>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</si>
  <si>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</si>
  <si>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</si>
  <si>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</si>
  <si>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</si>
  <si>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</si>
  <si>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</si>
  <si>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</si>
  <si>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</si>
  <si>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</si>
  <si>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</si>
  <si>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</si>
  <si>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</si>
  <si>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</si>
  <si>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</si>
  <si>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</si>
  <si>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</si>
  <si>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</si>
  <si>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</si>
  <si>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</si>
  <si>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</si>
  <si>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</si>
  <si>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</si>
  <si>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</si>
  <si>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</si>
  <si>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</si>
  <si>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</si>
  <si>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</si>
  <si>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</si>
  <si>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</si>
  <si>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</si>
  <si>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</si>
  <si>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</si>
  <si>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</si>
  <si>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</si>
  <si>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</si>
  <si>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</si>
  <si>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</si>
  <si>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</si>
  <si>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</si>
  <si>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</si>
  <si>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</si>
  <si>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</si>
  <si>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</si>
  <si>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</si>
  <si>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</si>
  <si>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</si>
  <si>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</si>
  <si>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</si>
  <si>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</si>
  <si>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</si>
  <si>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</si>
  <si>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</si>
  <si>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</si>
  <si>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</si>
  <si>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</si>
  <si>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</si>
  <si>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</si>
  <si>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</si>
  <si>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</si>
  <si>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</si>
  <si>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</si>
  <si>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</si>
  <si>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</si>
  <si>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</si>
  <si>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</si>
  <si>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</si>
  <si>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</si>
  <si>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</si>
  <si>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</si>
  <si>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</si>
  <si>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</si>
  <si>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</si>
  <si>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</si>
  <si>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</si>
  <si>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</si>
  <si>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</si>
  <si>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</si>
  <si>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</si>
  <si>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</si>
  <si>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</si>
  <si>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</si>
  <si>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</si>
  <si>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</si>
  <si>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</si>
  <si>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</si>
  <si>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</si>
  <si>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</si>
  <si>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</si>
  <si>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</si>
  <si>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</si>
  <si>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</si>
  <si>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</si>
  <si>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</si>
  <si>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</si>
  <si>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</si>
  <si>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</si>
  <si>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</si>
  <si>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</si>
  <si>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</si>
  <si>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</si>
  <si>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</si>
  <si>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</si>
  <si>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</si>
  <si>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</si>
  <si>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</si>
  <si>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</si>
  <si>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</si>
  <si>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</si>
  <si>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</si>
  <si>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</si>
  <si>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</si>
  <si>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</si>
  <si>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</si>
  <si>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</si>
  <si>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</si>
  <si>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</si>
  <si>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</si>
  <si>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</si>
  <si>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</si>
  <si>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</si>
  <si>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</si>
  <si>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</si>
  <si>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</si>
  <si>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</si>
  <si>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</si>
  <si>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</si>
  <si>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</si>
  <si>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</si>
  <si>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</si>
  <si>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</si>
  <si>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</si>
  <si>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</si>
  <si>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</si>
  <si>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</si>
  <si>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</si>
  <si>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</si>
  <si>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</si>
  <si>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</si>
  <si>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</si>
  <si>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</si>
  <si>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</si>
  <si>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</si>
  <si>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</si>
  <si>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</si>
  <si>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</si>
  <si>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</si>
  <si>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</si>
  <si>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</si>
  <si>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</si>
  <si>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</si>
  <si>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</si>
  <si>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</si>
  <si>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</si>
  <si>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</si>
  <si>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</si>
  <si>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</si>
  <si>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</si>
  <si>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</si>
  <si>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</si>
  <si>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</si>
  <si>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</si>
  <si>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</si>
  <si>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</si>
  <si>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</si>
  <si>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</si>
  <si>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</si>
  <si>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</si>
  <si>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</si>
  <si>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</si>
  <si>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</si>
  <si>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</si>
  <si>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</si>
  <si>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</si>
  <si>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</si>
  <si>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</si>
  <si>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</si>
  <si>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</si>
  <si>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</si>
  <si>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</si>
  <si>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</si>
  <si>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</si>
  <si>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</si>
  <si>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</si>
  <si>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</si>
  <si>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</si>
  <si>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</si>
  <si>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</si>
  <si>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</si>
  <si>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</si>
  <si>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</si>
  <si>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</si>
  <si>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</si>
  <si>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</si>
  <si>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</si>
  <si>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</si>
  <si>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</si>
  <si>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</si>
  <si>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</si>
  <si>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</si>
  <si>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</si>
  <si>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</si>
  <si>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</si>
  <si>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</si>
  <si>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</si>
  <si>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</si>
  <si>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</si>
  <si>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</si>
  <si>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</si>
  <si>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</si>
  <si>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</si>
  <si>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</si>
  <si>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</si>
  <si>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</si>
  <si>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</si>
  <si>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</si>
  <si>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</si>
  <si>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</si>
  <si>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</si>
  <si>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</si>
  <si>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</si>
  <si>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</si>
  <si>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</si>
  <si>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</si>
  <si>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</si>
  <si>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</si>
  <si>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</si>
  <si>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</si>
  <si>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</si>
  <si>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</si>
  <si>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</si>
  <si>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</si>
  <si>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</si>
  <si>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</si>
  <si>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</si>
  <si>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</si>
  <si>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</si>
  <si>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</si>
  <si>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</si>
  <si>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</si>
  <si>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</si>
  <si>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</si>
  <si>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</si>
  <si>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</si>
  <si>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</si>
  <si>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</si>
  <si>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</si>
  <si>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</si>
  <si>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</si>
  <si>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</si>
  <si>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</si>
  <si>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</si>
  <si>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</si>
  <si>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</si>
  <si>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</si>
  <si>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</si>
  <si>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</si>
  <si>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</si>
  <si>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</si>
  <si>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</si>
  <si>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</si>
  <si>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</si>
  <si>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</si>
  <si>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</si>
  <si>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</si>
  <si>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</si>
  <si>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</si>
  <si>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</si>
  <si>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</si>
  <si>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</si>
  <si>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</si>
  <si>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</si>
  <si>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</si>
  <si>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</si>
  <si>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</si>
  <si>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</si>
  <si>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</si>
  <si>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</si>
  <si>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</si>
  <si>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</si>
  <si>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</si>
  <si>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</si>
  <si>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</si>
  <si>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</si>
  <si>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</si>
  <si>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</si>
  <si>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</si>
  <si>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</si>
  <si>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</si>
  <si>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</si>
  <si>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</si>
  <si>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</si>
  <si>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</si>
  <si>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</si>
  <si>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</si>
  <si>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</si>
  <si>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</si>
  <si>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</si>
  <si>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</si>
  <si>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</si>
  <si>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</si>
  <si>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</si>
  <si>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</si>
  <si>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</si>
  <si>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</si>
  <si>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</si>
  <si>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</si>
  <si>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</si>
  <si>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</si>
  <si>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</si>
  <si>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</si>
  <si>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</si>
  <si>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</si>
  <si>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</si>
  <si>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</si>
  <si>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</si>
  <si>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</si>
  <si>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</si>
  <si>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</si>
  <si>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</si>
  <si>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</si>
  <si>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</si>
  <si>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</si>
  <si>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</si>
  <si>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</si>
  <si>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</si>
  <si>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</si>
  <si>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</si>
  <si>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</si>
  <si>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</si>
  <si>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</si>
  <si>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</si>
  <si>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</si>
  <si>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</si>
  <si>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</si>
  <si>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</si>
  <si>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</si>
  <si>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</si>
  <si>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</si>
  <si>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</si>
  <si>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</si>
  <si>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</si>
  <si>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</si>
  <si>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</si>
  <si>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</si>
  <si>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</si>
  <si>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</si>
  <si>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</si>
  <si>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</si>
  <si>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</si>
  <si>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</si>
  <si>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</si>
  <si>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</si>
  <si>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</si>
  <si>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</si>
  <si>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</si>
  <si>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</si>
  <si>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</si>
  <si>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</si>
  <si>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</si>
  <si>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</si>
  <si>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</si>
  <si>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</si>
  <si>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</si>
  <si>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</si>
  <si>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</si>
  <si>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</si>
  <si>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</si>
  <si>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</si>
  <si>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</si>
  <si>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</si>
  <si>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</si>
  <si>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</si>
  <si>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</si>
  <si>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</si>
  <si>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</si>
  <si>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</si>
  <si>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</si>
  <si>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</si>
  <si>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</si>
  <si>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</si>
  <si>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</si>
  <si>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</si>
  <si>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</si>
  <si>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</si>
  <si>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</si>
  <si>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</si>
  <si>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</si>
  <si>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</si>
  <si>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</si>
  <si>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</si>
  <si>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</si>
  <si>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</si>
  <si>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</si>
  <si>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</si>
  <si>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</si>
  <si>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</si>
  <si>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</si>
  <si>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</si>
  <si>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</si>
  <si>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</si>
  <si>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</si>
  <si>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</si>
  <si>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</si>
  <si>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</si>
  <si>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</si>
  <si>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</si>
  <si>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</si>
  <si>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</si>
  <si>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</si>
  <si>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</si>
  <si>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</si>
  <si>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</si>
  <si>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</si>
  <si>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</si>
  <si>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</si>
  <si>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</si>
  <si>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</si>
  <si>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</si>
  <si>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</si>
  <si>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</si>
  <si>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</si>
  <si>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</si>
  <si>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</si>
  <si>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</si>
  <si>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</si>
  <si>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</si>
  <si>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</si>
  <si>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</si>
  <si>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</si>
  <si>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</si>
  <si>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</si>
  <si>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</si>
  <si>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</si>
  <si>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</si>
  <si>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</si>
  <si>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</si>
  <si>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</si>
  <si>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</si>
  <si>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</si>
  <si>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</si>
  <si>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</si>
  <si>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</si>
  <si>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</si>
  <si>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</si>
  <si>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</si>
  <si>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</si>
  <si>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</si>
  <si>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</si>
  <si>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</si>
  <si>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</si>
  <si>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</si>
  <si>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</si>
  <si>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</si>
  <si>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</si>
  <si>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</si>
  <si>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</si>
  <si>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</si>
  <si>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</si>
  <si>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</si>
  <si>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</si>
  <si>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</si>
  <si>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</si>
  <si>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</si>
  <si>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</si>
  <si>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</si>
  <si>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</si>
  <si>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</si>
  <si>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</si>
  <si>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</si>
  <si>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</si>
  <si>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</si>
  <si>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</si>
  <si>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</si>
  <si>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</si>
  <si>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</si>
  <si>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</si>
  <si>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</si>
  <si>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</si>
  <si>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</si>
  <si>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</si>
  <si>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</si>
  <si>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</si>
  <si>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</si>
  <si>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</si>
  <si>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</si>
  <si>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</si>
  <si>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</si>
  <si>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</si>
  <si>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</si>
  <si>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</si>
  <si>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</si>
  <si>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</si>
  <si>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</si>
  <si>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</si>
  <si>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</si>
  <si>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</si>
  <si>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</si>
  <si>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</si>
  <si>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</si>
  <si>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</si>
  <si>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</si>
  <si>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</si>
  <si>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</si>
  <si>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</si>
  <si>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</si>
  <si>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</si>
  <si>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</si>
  <si>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</si>
  <si>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</si>
  <si>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</si>
  <si>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</si>
  <si>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</si>
  <si>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</si>
  <si>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</si>
  <si>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</si>
  <si>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</si>
  <si>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</si>
  <si>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</si>
  <si>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</si>
  <si>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</si>
  <si>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</si>
  <si>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</si>
  <si>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</si>
  <si>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</si>
  <si>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</si>
  <si>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</si>
  <si>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</si>
  <si>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</si>
  <si>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</si>
  <si>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</si>
  <si>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</si>
  <si>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</si>
  <si>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</si>
  <si>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</si>
  <si>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</si>
  <si>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</si>
  <si>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</si>
  <si>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</si>
  <si>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</si>
  <si>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</si>
  <si>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</si>
  <si>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</si>
  <si>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</si>
  <si>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</si>
  <si>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</si>
  <si>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</si>
  <si>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</si>
  <si>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</si>
  <si>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</si>
  <si>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</si>
  <si>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</si>
  <si>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</si>
  <si>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</si>
  <si>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</si>
  <si>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</si>
  <si>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</si>
  <si>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</si>
  <si>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</si>
  <si>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</si>
  <si>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</si>
  <si>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</si>
  <si>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</si>
  <si>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</si>
  <si>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</si>
  <si>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</si>
  <si>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</si>
  <si>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</si>
  <si>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</si>
  <si>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</si>
  <si>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</si>
  <si>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</si>
  <si>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</si>
  <si>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</si>
  <si>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</si>
  <si>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</si>
  <si>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</si>
  <si>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</si>
  <si>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Diehl Metal Applications GmbH</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</si>
  <si>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</si>
  <si>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</si>
  <si>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</si>
  <si>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</si>
  <si>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</si>
  <si>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</si>
  <si>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</si>
  <si>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The smelters in our list which source tin from covered countries have been approved to be compliant with the relevant Conflict-Free Smelter Program Assessment protocols. Therefore, material of this origin has to be regarded as DRC conflict-free.</t>
  </si>
  <si>
    <t>100%</t>
  </si>
  <si>
    <t>https://www.diehl.com/group/de/unternehmen/compliance/</t>
  </si>
  <si>
    <t>This CMRT is valid for DMA Berlin and DMA Teltow.
Dieser Bericht auf Basis des CMRT gilt für unsere Werke in Berlin und in Teltow.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</si>
</sst>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group/de/unternehmen/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8" activePane="bottomRight" state="frozen"/>
      <selection activeCell="A4" sqref="A4"/>
      <selection pane="topRight" activeCell="A4" sqref="A4"/>
      <selection pane="bottomLeft" activeCell="A4" sqref="A4"/>
      <selection pane="bottomRight" activeCell="B56" sqref="B56"/>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0"/>
      <c r="B2" s="5" t="s">
        <v>843</v>
      </c>
      <c r="C2" s="3"/>
      <c r="D2" s="175"/>
      <c r="E2" s="3"/>
      <c r="F2" s="3"/>
      <c r="G2" s="25"/>
    </row>
    <row r="3" spans="1:7">
      <c r="A3" s="300"/>
      <c r="B3" s="3" t="s">
        <v>835</v>
      </c>
      <c r="C3" s="5"/>
      <c r="D3" s="176"/>
      <c r="E3" s="3"/>
      <c r="F3" s="5"/>
      <c r="G3" s="25"/>
    </row>
    <row r="4" spans="1:7" ht="15.75">
      <c r="A4" s="300"/>
      <c r="B4" s="30" t="s">
        <v>845</v>
      </c>
      <c r="C4" s="6"/>
      <c r="D4" s="177"/>
      <c r="E4" s="3"/>
      <c r="F4" s="6"/>
      <c r="G4" s="25"/>
    </row>
    <row r="5" spans="1:7">
      <c r="A5" s="300"/>
      <c r="B5" s="29" t="s">
        <v>1036</v>
      </c>
      <c r="C5" s="4"/>
      <c r="D5" s="178"/>
      <c r="E5" s="3"/>
      <c r="F5" s="4"/>
      <c r="G5" s="25"/>
    </row>
    <row r="6" spans="1:7">
      <c r="A6" s="300"/>
      <c r="B6" s="3"/>
      <c r="C6" s="3"/>
      <c r="D6" s="175"/>
      <c r="E6" s="3"/>
      <c r="F6" s="3"/>
      <c r="G6" s="25"/>
    </row>
    <row r="7" spans="1:7">
      <c r="A7" s="300"/>
      <c r="B7" s="3"/>
      <c r="C7" s="3"/>
      <c r="D7" s="175"/>
      <c r="E7" s="3"/>
      <c r="F7" s="3"/>
      <c r="G7" s="25"/>
    </row>
    <row r="8" spans="1:7">
      <c r="A8" s="300"/>
      <c r="B8" s="3"/>
      <c r="C8" s="3"/>
      <c r="D8" s="175"/>
      <c r="E8" s="3"/>
      <c r="F8" s="3"/>
      <c r="G8" s="25"/>
    </row>
    <row r="9" spans="1:7">
      <c r="A9" s="300"/>
      <c r="B9" s="303" t="s">
        <v>846</v>
      </c>
      <c r="C9" s="303"/>
      <c r="D9" s="303"/>
      <c r="E9" s="303"/>
      <c r="F9" s="303"/>
      <c r="G9" s="25"/>
    </row>
    <row r="10" spans="1:7" ht="27" customHeight="1">
      <c r="A10" s="300"/>
      <c r="B10" s="304" t="s">
        <v>438</v>
      </c>
      <c r="C10" s="304"/>
      <c r="D10" s="304"/>
      <c r="E10" s="304"/>
      <c r="F10" s="304"/>
      <c r="G10" s="25"/>
    </row>
    <row r="11" spans="1:7" ht="27" customHeight="1">
      <c r="A11" s="300"/>
      <c r="B11" s="305"/>
      <c r="C11" s="305"/>
      <c r="D11" s="305"/>
      <c r="E11" s="305"/>
      <c r="F11" s="305"/>
      <c r="G11" s="25"/>
    </row>
    <row r="12" spans="1:7">
      <c r="A12" s="300"/>
      <c r="B12" s="31" t="s">
        <v>844</v>
      </c>
      <c r="C12" s="32" t="s">
        <v>847</v>
      </c>
      <c r="D12" s="179" t="s">
        <v>848</v>
      </c>
      <c r="E12" s="32" t="s">
        <v>612</v>
      </c>
      <c r="F12" s="32" t="s">
        <v>613</v>
      </c>
      <c r="G12" s="25"/>
    </row>
    <row r="13" spans="1:7" ht="33.75">
      <c r="A13" s="300"/>
      <c r="B13" s="2">
        <v>1</v>
      </c>
      <c r="C13" s="27" t="s">
        <v>1084</v>
      </c>
      <c r="D13" s="28" t="s">
        <v>872</v>
      </c>
      <c r="E13" s="163" t="s">
        <v>849</v>
      </c>
      <c r="F13" s="163"/>
      <c r="G13" s="25"/>
    </row>
    <row r="14" spans="1:7" ht="33.75">
      <c r="A14" s="300"/>
      <c r="B14" s="2">
        <v>2</v>
      </c>
      <c r="C14" s="27" t="s">
        <v>1084</v>
      </c>
      <c r="D14" s="28" t="s">
        <v>1021</v>
      </c>
      <c r="E14" s="163" t="s">
        <v>530</v>
      </c>
      <c r="F14" s="163" t="s">
        <v>531</v>
      </c>
      <c r="G14" s="25"/>
    </row>
    <row r="15" spans="1:7" ht="89.1" customHeight="1">
      <c r="A15" s="300"/>
      <c r="B15" s="306">
        <v>2.0099999999999998</v>
      </c>
      <c r="C15" s="297" t="s">
        <v>1084</v>
      </c>
      <c r="D15" s="309" t="s">
        <v>2246</v>
      </c>
      <c r="E15" s="164" t="s">
        <v>614</v>
      </c>
      <c r="F15" s="164" t="s">
        <v>617</v>
      </c>
      <c r="G15" s="25"/>
    </row>
    <row r="16" spans="1:7" ht="99" customHeight="1">
      <c r="A16" s="300"/>
      <c r="B16" s="307"/>
      <c r="C16" s="298"/>
      <c r="D16" s="310"/>
      <c r="E16" s="165"/>
      <c r="F16" s="165" t="s">
        <v>615</v>
      </c>
      <c r="G16" s="25"/>
    </row>
    <row r="17" spans="1:7" ht="63" customHeight="1">
      <c r="A17" s="300"/>
      <c r="B17" s="308"/>
      <c r="C17" s="299"/>
      <c r="D17" s="311"/>
      <c r="E17" s="27"/>
      <c r="F17" s="27" t="s">
        <v>616</v>
      </c>
      <c r="G17" s="25"/>
    </row>
    <row r="18" spans="1:7" ht="117" customHeight="1">
      <c r="A18" s="300"/>
      <c r="B18" s="306">
        <v>2.02</v>
      </c>
      <c r="C18" s="297" t="s">
        <v>1084</v>
      </c>
      <c r="D18" s="309" t="s">
        <v>2247</v>
      </c>
      <c r="E18" s="164" t="s">
        <v>439</v>
      </c>
      <c r="F18" s="164" t="s">
        <v>525</v>
      </c>
      <c r="G18" s="25"/>
    </row>
    <row r="19" spans="1:7" ht="71.099999999999994" customHeight="1">
      <c r="A19" s="300"/>
      <c r="B19" s="307"/>
      <c r="C19" s="298"/>
      <c r="D19" s="310"/>
      <c r="E19" s="165" t="s">
        <v>529</v>
      </c>
      <c r="F19" s="165" t="s">
        <v>440</v>
      </c>
      <c r="G19" s="25"/>
    </row>
    <row r="20" spans="1:7" ht="90.75" customHeight="1">
      <c r="A20" s="300"/>
      <c r="B20" s="307"/>
      <c r="C20" s="298"/>
      <c r="D20" s="310"/>
      <c r="E20" s="165"/>
      <c r="F20" s="165" t="s">
        <v>619</v>
      </c>
      <c r="G20" s="25"/>
    </row>
    <row r="21" spans="1:7" ht="74.25" customHeight="1">
      <c r="A21" s="300"/>
      <c r="B21" s="308"/>
      <c r="C21" s="299"/>
      <c r="D21" s="311"/>
      <c r="E21" s="27"/>
      <c r="F21" s="27" t="s">
        <v>618</v>
      </c>
      <c r="G21" s="25"/>
    </row>
    <row r="22" spans="1:7" ht="90" customHeight="1">
      <c r="A22" s="300"/>
      <c r="B22" s="291">
        <v>2.0299999999999998</v>
      </c>
      <c r="C22" s="291" t="s">
        <v>818</v>
      </c>
      <c r="D22" s="294" t="s">
        <v>2248</v>
      </c>
      <c r="E22" s="297" t="s">
        <v>437</v>
      </c>
      <c r="F22" s="164" t="s">
        <v>460</v>
      </c>
      <c r="G22" s="25"/>
    </row>
    <row r="23" spans="1:7" ht="109.5" customHeight="1">
      <c r="A23" s="300"/>
      <c r="B23" s="292"/>
      <c r="C23" s="292"/>
      <c r="D23" s="295"/>
      <c r="E23" s="298"/>
      <c r="F23" s="165" t="s">
        <v>819</v>
      </c>
      <c r="G23" s="25"/>
    </row>
    <row r="24" spans="1:7" ht="74.25" customHeight="1">
      <c r="A24" s="300"/>
      <c r="B24" s="293"/>
      <c r="C24" s="293"/>
      <c r="D24" s="296"/>
      <c r="E24" s="299"/>
      <c r="F24" s="27" t="s">
        <v>436</v>
      </c>
      <c r="G24" s="25"/>
    </row>
    <row r="25" spans="1:7" ht="72" customHeight="1">
      <c r="A25" s="300"/>
      <c r="B25" s="2" t="s">
        <v>458</v>
      </c>
      <c r="C25" s="27" t="s">
        <v>459</v>
      </c>
      <c r="D25" s="28" t="s">
        <v>2249</v>
      </c>
      <c r="E25" s="27" t="s">
        <v>2244</v>
      </c>
      <c r="F25" s="27" t="s">
        <v>461</v>
      </c>
      <c r="G25" s="25"/>
    </row>
    <row r="26" spans="1:7" ht="98.1" customHeight="1">
      <c r="A26" s="300"/>
      <c r="B26" s="288">
        <v>3</v>
      </c>
      <c r="C26" s="306" t="s">
        <v>70</v>
      </c>
      <c r="D26" s="309" t="s">
        <v>2250</v>
      </c>
      <c r="E26" s="297" t="s">
        <v>0</v>
      </c>
      <c r="F26" s="164" t="s">
        <v>64</v>
      </c>
      <c r="G26" s="25"/>
    </row>
    <row r="27" spans="1:7" ht="90" customHeight="1">
      <c r="A27" s="300"/>
      <c r="B27" s="289"/>
      <c r="C27" s="307"/>
      <c r="D27" s="310"/>
      <c r="E27" s="298"/>
      <c r="F27" s="165" t="s">
        <v>59</v>
      </c>
      <c r="G27" s="25"/>
    </row>
    <row r="28" spans="1:7" ht="19.350000000000001" customHeight="1">
      <c r="A28" s="300"/>
      <c r="B28" s="289"/>
      <c r="C28" s="307"/>
      <c r="D28" s="310"/>
      <c r="E28" s="298"/>
      <c r="F28" s="165" t="s">
        <v>60</v>
      </c>
      <c r="G28" s="25"/>
    </row>
    <row r="29" spans="1:7" ht="74.650000000000006" customHeight="1">
      <c r="A29" s="300"/>
      <c r="B29" s="289"/>
      <c r="C29" s="307"/>
      <c r="D29" s="310"/>
      <c r="E29" s="298"/>
      <c r="F29" s="165" t="s">
        <v>61</v>
      </c>
      <c r="G29" s="25"/>
    </row>
    <row r="30" spans="1:7" ht="62.65" customHeight="1">
      <c r="A30" s="300"/>
      <c r="B30" s="289"/>
      <c r="C30" s="307"/>
      <c r="D30" s="310"/>
      <c r="E30" s="298"/>
      <c r="F30" s="165" t="s">
        <v>62</v>
      </c>
      <c r="G30" s="25"/>
    </row>
    <row r="31" spans="1:7" ht="81" customHeight="1">
      <c r="A31" s="300"/>
      <c r="B31" s="289"/>
      <c r="C31" s="307"/>
      <c r="D31" s="310"/>
      <c r="E31" s="298"/>
      <c r="F31" s="165" t="s">
        <v>63</v>
      </c>
      <c r="G31" s="25"/>
    </row>
    <row r="32" spans="1:7" ht="48.75" customHeight="1">
      <c r="A32" s="300"/>
      <c r="B32" s="289"/>
      <c r="C32" s="307"/>
      <c r="D32" s="310"/>
      <c r="E32" s="298"/>
      <c r="F32" s="165" t="s">
        <v>66</v>
      </c>
      <c r="G32" s="25"/>
    </row>
    <row r="33" spans="1:7" ht="98.65" customHeight="1">
      <c r="A33" s="300"/>
      <c r="B33" s="289"/>
      <c r="C33" s="307"/>
      <c r="D33" s="310"/>
      <c r="E33" s="298"/>
      <c r="F33" s="165" t="s">
        <v>65</v>
      </c>
      <c r="G33" s="25"/>
    </row>
    <row r="34" spans="1:7" ht="89.1" customHeight="1">
      <c r="A34" s="300"/>
      <c r="B34" s="289"/>
      <c r="C34" s="307"/>
      <c r="D34" s="310"/>
      <c r="E34" s="298"/>
      <c r="F34" s="165" t="s">
        <v>67</v>
      </c>
      <c r="G34" s="25"/>
    </row>
    <row r="35" spans="1:7" ht="29.1" customHeight="1">
      <c r="A35" s="300"/>
      <c r="B35" s="289"/>
      <c r="C35" s="307"/>
      <c r="D35" s="310"/>
      <c r="E35" s="298"/>
      <c r="F35" s="165" t="s">
        <v>68</v>
      </c>
      <c r="G35" s="25"/>
    </row>
    <row r="36" spans="1:7" ht="126.75">
      <c r="A36" s="300"/>
      <c r="B36" s="290"/>
      <c r="C36" s="308"/>
      <c r="D36" s="311"/>
      <c r="E36" s="299"/>
      <c r="F36" s="166" t="s">
        <v>69</v>
      </c>
      <c r="G36" s="25"/>
    </row>
    <row r="37" spans="1:7" ht="112.5">
      <c r="A37" s="300"/>
      <c r="B37" s="141">
        <v>3.01</v>
      </c>
      <c r="C37" s="142" t="s">
        <v>70</v>
      </c>
      <c r="D37" s="28" t="s">
        <v>2251</v>
      </c>
      <c r="E37" s="167" t="s">
        <v>1323</v>
      </c>
      <c r="F37" s="168" t="s">
        <v>1427</v>
      </c>
      <c r="G37" s="25"/>
    </row>
    <row r="38" spans="1:7" ht="101.25">
      <c r="A38" s="300"/>
      <c r="B38" s="141">
        <v>3.02</v>
      </c>
      <c r="C38" s="142" t="s">
        <v>1356</v>
      </c>
      <c r="D38" s="28" t="s">
        <v>2252</v>
      </c>
      <c r="E38" s="167" t="s">
        <v>1371</v>
      </c>
      <c r="F38" s="168" t="s">
        <v>1428</v>
      </c>
      <c r="G38" s="25"/>
    </row>
    <row r="39" spans="1:7" ht="101.25">
      <c r="A39" s="300"/>
      <c r="B39" s="150">
        <v>4</v>
      </c>
      <c r="C39" s="149" t="s">
        <v>1524</v>
      </c>
      <c r="D39" s="28" t="s">
        <v>2253</v>
      </c>
      <c r="E39" s="27" t="s">
        <v>2198</v>
      </c>
      <c r="F39" s="27" t="s">
        <v>1525</v>
      </c>
      <c r="G39" s="25"/>
    </row>
    <row r="40" spans="1:7" ht="56.25">
      <c r="A40" s="300"/>
      <c r="B40" s="141">
        <v>4.01</v>
      </c>
      <c r="C40" s="149" t="s">
        <v>1524</v>
      </c>
      <c r="D40" s="28" t="s">
        <v>2255</v>
      </c>
      <c r="E40" s="27" t="s">
        <v>2210</v>
      </c>
      <c r="F40" s="27" t="s">
        <v>2214</v>
      </c>
      <c r="G40" s="25"/>
    </row>
    <row r="41" spans="1:7" ht="56.25">
      <c r="A41" s="300"/>
      <c r="B41" s="141" t="s">
        <v>2242</v>
      </c>
      <c r="C41" s="149" t="s">
        <v>1524</v>
      </c>
      <c r="D41" s="28" t="s">
        <v>2254</v>
      </c>
      <c r="E41" s="27" t="s">
        <v>2245</v>
      </c>
      <c r="F41" s="27" t="s">
        <v>2243</v>
      </c>
      <c r="G41" s="25"/>
    </row>
    <row r="42" spans="1:7" ht="56.25">
      <c r="A42" s="300"/>
      <c r="B42" s="141" t="s">
        <v>2276</v>
      </c>
      <c r="C42" s="149" t="s">
        <v>1524</v>
      </c>
      <c r="D42" s="28" t="s">
        <v>2281</v>
      </c>
      <c r="E42" s="27" t="s">
        <v>2244</v>
      </c>
      <c r="F42" s="27" t="s">
        <v>2277</v>
      </c>
      <c r="G42" s="25"/>
    </row>
    <row r="43" spans="1:7" ht="123.75">
      <c r="A43" s="300"/>
      <c r="B43" s="160">
        <v>4.0999999999999996</v>
      </c>
      <c r="C43" s="149" t="s">
        <v>2280</v>
      </c>
      <c r="D43" s="161">
        <v>42867</v>
      </c>
      <c r="E43" s="169" t="s">
        <v>2283</v>
      </c>
      <c r="F43" s="27" t="s">
        <v>2282</v>
      </c>
      <c r="G43" s="25"/>
    </row>
    <row r="44" spans="1:7" ht="78.75">
      <c r="A44" s="300"/>
      <c r="B44" s="160">
        <v>4.2</v>
      </c>
      <c r="C44" s="149" t="s">
        <v>2280</v>
      </c>
      <c r="D44" s="161">
        <v>42704</v>
      </c>
      <c r="E44" s="169" t="s">
        <v>2479</v>
      </c>
      <c r="F44" s="27" t="s">
        <v>2454</v>
      </c>
      <c r="G44" s="25"/>
    </row>
    <row r="45" spans="1:7" ht="157.5">
      <c r="A45" s="300"/>
      <c r="B45" s="203">
        <v>5</v>
      </c>
      <c r="C45" s="149" t="s">
        <v>2280</v>
      </c>
      <c r="D45" s="161">
        <v>42867</v>
      </c>
      <c r="E45" s="169" t="s">
        <v>12705</v>
      </c>
      <c r="F45" s="27" t="s">
        <v>12427</v>
      </c>
      <c r="G45" s="25"/>
    </row>
    <row r="46" spans="1:7" ht="45">
      <c r="A46" s="300"/>
      <c r="B46" s="160">
        <v>5.01</v>
      </c>
      <c r="C46" s="149" t="s">
        <v>2280</v>
      </c>
      <c r="D46" s="161">
        <v>42907</v>
      </c>
      <c r="E46" s="169" t="s">
        <v>15521</v>
      </c>
      <c r="F46" s="27" t="s">
        <v>12427</v>
      </c>
      <c r="G46" s="25"/>
    </row>
    <row r="47" spans="1:7" ht="67.5">
      <c r="A47" s="300"/>
      <c r="B47" s="160">
        <v>5.0999999999999996</v>
      </c>
      <c r="C47" s="149" t="s">
        <v>2280</v>
      </c>
      <c r="D47" s="161">
        <v>43070</v>
      </c>
      <c r="E47" s="169" t="s">
        <v>12915</v>
      </c>
      <c r="F47" s="27" t="s">
        <v>12916</v>
      </c>
      <c r="G47" s="25"/>
    </row>
    <row r="48" spans="1:7" ht="56.25">
      <c r="A48" s="300"/>
      <c r="B48" s="160">
        <v>5.1100000000000003</v>
      </c>
      <c r="C48" s="149" t="s">
        <v>13152</v>
      </c>
      <c r="D48" s="161">
        <v>43217</v>
      </c>
      <c r="E48" s="169" t="s">
        <v>13278</v>
      </c>
      <c r="F48" s="27" t="s">
        <v>13186</v>
      </c>
      <c r="G48" s="25"/>
    </row>
    <row r="49" spans="1:7" ht="56.25">
      <c r="A49" s="300"/>
      <c r="B49" s="160">
        <v>5.12</v>
      </c>
      <c r="C49" s="149" t="s">
        <v>13152</v>
      </c>
      <c r="D49" s="161">
        <v>43581</v>
      </c>
      <c r="E49" s="169" t="s">
        <v>13278</v>
      </c>
      <c r="F49" s="27" t="s">
        <v>13832</v>
      </c>
      <c r="G49" s="25"/>
    </row>
    <row r="50" spans="1:7" ht="78.75">
      <c r="A50" s="300"/>
      <c r="B50" s="203">
        <v>6</v>
      </c>
      <c r="C50" s="149" t="s">
        <v>13152</v>
      </c>
      <c r="D50" s="161">
        <v>43964</v>
      </c>
      <c r="E50" s="169" t="s">
        <v>14048</v>
      </c>
      <c r="F50" s="27" t="s">
        <v>13835</v>
      </c>
      <c r="G50" s="25"/>
    </row>
    <row r="51" spans="1:7" ht="45">
      <c r="A51" s="300"/>
      <c r="B51" s="160">
        <v>6.01</v>
      </c>
      <c r="C51" s="149" t="s">
        <v>13152</v>
      </c>
      <c r="D51" s="161">
        <v>43970</v>
      </c>
      <c r="E51" s="169" t="s">
        <v>15522</v>
      </c>
      <c r="F51" s="169" t="s">
        <v>13835</v>
      </c>
      <c r="G51" s="25"/>
    </row>
    <row r="52" spans="1:7" ht="45">
      <c r="A52" s="300"/>
      <c r="B52" s="160">
        <v>6.1</v>
      </c>
      <c r="C52" s="149" t="s">
        <v>13152</v>
      </c>
      <c r="D52" s="161">
        <v>44314</v>
      </c>
      <c r="E52" s="169" t="s">
        <v>15514</v>
      </c>
      <c r="F52" s="169" t="s">
        <v>15043</v>
      </c>
      <c r="G52" s="25"/>
    </row>
    <row r="53" spans="1:7" ht="45">
      <c r="A53" s="300"/>
      <c r="B53" s="160">
        <v>6.2</v>
      </c>
      <c r="C53" s="149" t="s">
        <v>13152</v>
      </c>
      <c r="D53" s="161">
        <v>44678</v>
      </c>
      <c r="E53" s="169" t="s">
        <v>15514</v>
      </c>
      <c r="F53" s="169" t="s">
        <v>15513</v>
      </c>
      <c r="G53" s="25"/>
    </row>
    <row r="54" spans="1:7" ht="45">
      <c r="A54" s="300"/>
      <c r="B54" s="160">
        <v>6.21</v>
      </c>
      <c r="C54" s="149" t="s">
        <v>13152</v>
      </c>
      <c r="D54" s="161">
        <v>44687</v>
      </c>
      <c r="E54" s="169" t="s">
        <v>15523</v>
      </c>
      <c r="F54" s="169" t="s">
        <v>15513</v>
      </c>
      <c r="G54" s="25"/>
    </row>
    <row r="55" spans="1:7" ht="45">
      <c r="A55" s="300"/>
      <c r="B55" s="160">
        <v>6.22</v>
      </c>
      <c r="C55" s="149" t="s">
        <v>13152</v>
      </c>
      <c r="D55" s="279">
        <v>44692</v>
      </c>
      <c r="E55" s="169" t="s">
        <v>15522</v>
      </c>
      <c r="F55" s="169" t="s">
        <v>15513</v>
      </c>
      <c r="G55" s="25"/>
    </row>
    <row r="56" spans="1:7" ht="56.25">
      <c r="A56" s="300"/>
      <c r="B56" s="203">
        <v>6.3</v>
      </c>
      <c r="C56" s="149" t="s">
        <v>13152</v>
      </c>
      <c r="D56" s="279">
        <v>45051</v>
      </c>
      <c r="E56" s="169" t="s">
        <v>15791</v>
      </c>
      <c r="F56" s="169" t="s">
        <v>15571</v>
      </c>
      <c r="G56" s="25"/>
    </row>
    <row r="57" spans="1:7" ht="13.5" thickBot="1">
      <c r="A57" s="301"/>
      <c r="B57" s="302" t="str">
        <f ca="1">OFFSET(L!$C$1,MATCH("General"&amp;"Cpy",L!$A:$A,0)-1,SL,,)</f>
        <v>© 2023 Responsible Minerals Initiative. All rights reserved.</v>
      </c>
      <c r="C57" s="302"/>
      <c r="D57" s="302"/>
      <c r="E57" s="302"/>
      <c r="F57" s="302"/>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790A08-AF22-431A-8ED3-D8AEDD9D25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baseColWidth="10"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D49D2BD-796E-4514-A240-2CFCCAEFC7B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40"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40"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40"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40"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40"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Posten</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Zinn, Tantal, Wolfram, Gold</v>
      </c>
      <c r="D3" s="316"/>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16"/>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16"/>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16"/>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16"/>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16"/>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16"/>
      <c r="E9" s="100" t="s">
        <v>1308</v>
      </c>
    </row>
    <row r="10" spans="1:5" ht="45">
      <c r="A10" s="74"/>
      <c r="B10" s="63" t="str">
        <f ca="1">OFFSET(L!$C$1,MATCH("Definitions"&amp;ADDRESS(ROW(),COLUMN(),4),L!$A:$A,0)-1,SL,,)</f>
        <v>DRK</v>
      </c>
      <c r="C10" s="63" t="str">
        <f ca="1">OFFSET(L!$C$1,MATCH("Definitions"&amp;ADDRESS(ROW(),COLUMN(),4),L!$A:$A,0)-1,SL,,)</f>
        <v>Demokratische Republik Kongo</v>
      </c>
      <c r="D10" s="316"/>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16"/>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16"/>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16"/>
      <c r="E13" s="100" t="s">
        <v>1309</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16"/>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16"/>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16"/>
      <c r="E16" s="100" t="s">
        <v>1307</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16"/>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16"/>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16"/>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16"/>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16"/>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16"/>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16"/>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16"/>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16"/>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1" sqref="D11:J1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65"/>
      <c r="G3" s="365"/>
      <c r="H3" s="365"/>
      <c r="I3" s="152"/>
      <c r="J3" s="138" t="s">
        <v>15592</v>
      </c>
      <c r="K3" s="36"/>
      <c r="L3" s="100"/>
      <c r="P3" s="45">
        <f>MATCH($D$3,LN,0)</f>
        <v>7</v>
      </c>
    </row>
    <row r="4" spans="1:34" ht="15.75">
      <c r="A4" s="34"/>
      <c r="B4" s="361" t="str">
        <f ca="1">OFFSET(L!$C$1,MATCH("Declaration"&amp;ADDRESS(ROW(),COLUMN(),4),L!$A:$A,0)-1,SL,,)</f>
        <v>Der Zweck dieses Dokuments ist die Erfassung von Beschaffungsinformationen für Zinn, Tantal, Wolfram und Gold, welche in Produkten genutzt werden.</v>
      </c>
      <c r="C4" s="361"/>
      <c r="D4" s="361"/>
      <c r="E4" s="361"/>
      <c r="F4" s="361"/>
      <c r="G4" s="361"/>
      <c r="H4" s="361"/>
      <c r="I4" s="366" t="str">
        <f ca="1">OFFSET(L!$C$1,MATCH("Declaration"&amp;ADDRESS(ROW(),COLUMN(),4),L!$A:$A,0)-1,SL,,)</f>
        <v>Link zu den Bedingungen</v>
      </c>
      <c r="J4" s="36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1" t="str">
        <f ca="1">OFFSET(L!$C$1,MATCH("Declaration"&amp;ADDRESS(ROW(),COLUMN(),4),L!$A:$A,0)-1,SL,,)</f>
        <v>Pflichtfelder sind mit einem Sternchen (*) gekennzeichnet.  Im Tab „Instruktionen“ finden Sie eine Anleitung zur Beantwortung aller Fragen.</v>
      </c>
      <c r="C6" s="361"/>
      <c r="D6" s="361"/>
      <c r="E6" s="361"/>
      <c r="F6" s="361"/>
      <c r="G6" s="361"/>
      <c r="H6" s="361"/>
      <c r="I6" s="361"/>
      <c r="J6" s="361"/>
      <c r="K6" s="36"/>
      <c r="L6" s="115" t="s">
        <v>443</v>
      </c>
      <c r="P6" s="3"/>
      <c r="Q6" s="3"/>
      <c r="R6" s="3"/>
      <c r="S6" s="3"/>
      <c r="T6" s="3"/>
      <c r="U6" s="3"/>
      <c r="V6" s="3"/>
      <c r="W6" s="3"/>
      <c r="X6" s="3"/>
      <c r="Y6" s="3"/>
      <c r="Z6" s="3"/>
      <c r="AA6" s="3"/>
      <c r="AB6" s="3"/>
      <c r="AC6" s="3"/>
      <c r="AD6" s="3"/>
      <c r="AE6" s="3"/>
      <c r="AF6" s="3"/>
      <c r="AG6" s="3"/>
      <c r="AH6" s="3"/>
    </row>
    <row r="7" spans="1:34" ht="37.15" customHeight="1">
      <c r="A7" s="34"/>
      <c r="B7" s="370" t="str">
        <f ca="1">OFFSET(L!$C$1,MATCH("Declaration"&amp;ADDRESS(ROW(),COLUMN(),4),L!$A:$A,0)-1,SL,,)</f>
        <v>Firmenangaben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58" t="s">
        <v>15793</v>
      </c>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67" t="s">
        <v>494</v>
      </c>
      <c r="E9" s="368"/>
      <c r="F9" s="368"/>
      <c r="G9" s="369"/>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1" t="str">
        <f ca="1">OFFSET(L!$C$1,MATCH("Declaration"&amp;ADDRESS(ROW(),COLUMN(),4)&amp;LEFT($D$9,1),L!$A:$A,0)-1,SL,,)</f>
        <v>Beschreibung des Geltungsbereichs</v>
      </c>
      <c r="C10" s="122"/>
      <c r="D10" s="362" t="s">
        <v>15804</v>
      </c>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5.75">
      <c r="A11" s="38"/>
      <c r="B11" s="372"/>
      <c r="C11" s="122"/>
      <c r="D11" s="337" t="str">
        <f ca="1">IF(D9=Q9,OFFSET(L!$C$1,MATCH("Declaration"&amp;ADDRESS(ROW(),COLUMN(),4),L!$A:$A,0)-1,SL,,),"")</f>
        <v/>
      </c>
      <c r="E11" s="338"/>
      <c r="F11" s="338"/>
      <c r="G11" s="338"/>
      <c r="H11" s="338"/>
      <c r="I11" s="338"/>
      <c r="J11" s="33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45" t="s">
        <v>15794</v>
      </c>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45" t="s">
        <v>15795</v>
      </c>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45" t="s">
        <v>15796</v>
      </c>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45" t="s">
        <v>15797</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3" t="s">
        <v>15798</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45" t="s">
        <v>15799</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18" t="s">
        <v>15797</v>
      </c>
      <c r="E18" s="319"/>
      <c r="F18" s="319"/>
      <c r="G18" s="319"/>
      <c r="H18" s="319"/>
      <c r="I18" s="319"/>
      <c r="J18" s="32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45" t="s">
        <v>15800</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3" t="s">
        <v>15798</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76" t="s">
        <v>15799</v>
      </c>
      <c r="E21" s="377"/>
      <c r="F21" s="377"/>
      <c r="G21" s="377"/>
      <c r="H21" s="377"/>
      <c r="I21" s="377"/>
      <c r="J21" s="37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79">
        <v>45061</v>
      </c>
      <c r="E22" s="380"/>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8"/>
      <c r="E23" s="34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Beantworten Sie die Fragen 1 - 8 entsprechend dem oben angegebenen Geltungsbereich</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28" t="str">
        <f ca="1">OFFSET(L!$C$1,MATCH("Declaration"&amp;ADDRESS(ROW(),COLUMN(),4),L!$A:$A,0)-1,SL,,)</f>
        <v>Antwort</v>
      </c>
      <c r="E25" s="328"/>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1" t="s">
        <v>489</v>
      </c>
      <c r="E26" s="322"/>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1" t="s">
        <v>488</v>
      </c>
      <c r="E27" s="322"/>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1" t="s">
        <v>488</v>
      </c>
      <c r="E28" s="322"/>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1" t="s">
        <v>489</v>
      </c>
      <c r="E29" s="322"/>
      <c r="F29" s="12"/>
      <c r="G29" s="323"/>
      <c r="H29" s="324"/>
      <c r="I29" s="324"/>
      <c r="J29" s="32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0" t="str">
        <f ca="1">D25</f>
        <v>Antwort</v>
      </c>
      <c r="E31" s="330"/>
      <c r="F31" s="18"/>
      <c r="G31" s="44" t="str">
        <f ca="1">G25</f>
        <v>Kommentare</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0"/>
      <c r="E32" s="341"/>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1" t="s">
        <v>488</v>
      </c>
      <c r="E33" s="322"/>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1" t="s">
        <v>488</v>
      </c>
      <c r="E34" s="322"/>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1"/>
      <c r="E35" s="322"/>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0" t="str">
        <f ca="1">D25</f>
        <v>Antwort</v>
      </c>
      <c r="E37" s="330"/>
      <c r="F37" s="18"/>
      <c r="G37" s="44" t="str">
        <f ca="1">G25</f>
        <v>Kommentare</v>
      </c>
      <c r="H37" s="344"/>
      <c r="I37" s="344"/>
      <c r="J37" s="34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1"/>
      <c r="E38" s="322"/>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39" customHeight="1">
      <c r="A39" s="41"/>
      <c r="B39" s="40" t="str">
        <f ca="1">OFFSET(L!$C$1,MATCH("Declaration"&amp;ADDRESS(ROW(),COLUMN(),4),L!$A:$A,0)-1,SL,,)&amp;P39</f>
        <v>Zinn  (*)</v>
      </c>
      <c r="C39" s="10"/>
      <c r="D39" s="321" t="s">
        <v>488</v>
      </c>
      <c r="E39" s="322"/>
      <c r="F39" s="47"/>
      <c r="G39" s="323" t="s">
        <v>15801</v>
      </c>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1" t="s">
        <v>489</v>
      </c>
      <c r="E40" s="322"/>
      <c r="F40" s="47"/>
      <c r="G40" s="323"/>
      <c r="H40" s="324"/>
      <c r="I40" s="324"/>
      <c r="J40" s="32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1"/>
      <c r="E41" s="322"/>
      <c r="F41" s="47"/>
      <c r="G41" s="323"/>
      <c r="H41" s="324"/>
      <c r="I41" s="324"/>
      <c r="J41" s="32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0" t="str">
        <f ca="1">D25</f>
        <v>Antwort</v>
      </c>
      <c r="E43" s="330"/>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1"/>
      <c r="E44" s="322"/>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38.25" customHeight="1">
      <c r="A45" s="41"/>
      <c r="B45" s="40" t="str">
        <f ca="1">OFFSET(L!$C$1,MATCH("Declaration"&amp;ADDRESS(ROW(),COLUMN(),4),L!$A:$A,0)-1,SL,,)&amp;P45</f>
        <v>Zinn  (*)</v>
      </c>
      <c r="C45" s="10"/>
      <c r="D45" s="321" t="s">
        <v>488</v>
      </c>
      <c r="E45" s="322"/>
      <c r="F45" s="47"/>
      <c r="G45" s="323" t="s">
        <v>15801</v>
      </c>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1" t="s">
        <v>489</v>
      </c>
      <c r="E46" s="322"/>
      <c r="F46" s="47"/>
      <c r="G46" s="323"/>
      <c r="H46" s="324"/>
      <c r="I46" s="324"/>
      <c r="J46" s="32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1"/>
      <c r="E47" s="322"/>
      <c r="F47" s="47"/>
      <c r="G47" s="323"/>
      <c r="H47" s="324"/>
      <c r="I47" s="324"/>
      <c r="J47" s="32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0" t="str">
        <f ca="1">D25</f>
        <v>Antwort</v>
      </c>
      <c r="E49" s="330"/>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1"/>
      <c r="E50" s="322"/>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1" t="s">
        <v>489</v>
      </c>
      <c r="E51" s="322"/>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1" t="s">
        <v>488</v>
      </c>
      <c r="E52" s="322"/>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1"/>
      <c r="E53" s="322"/>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Wie hoch ist der Prozentsatz an Lieferanten, die auf Ihre Lieferkettenumfrage geantwortet haben? (*)</v>
      </c>
      <c r="C55" s="10"/>
      <c r="D55" s="330" t="str">
        <f ca="1">D25</f>
        <v>Antwort</v>
      </c>
      <c r="E55" s="330"/>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2"/>
      <c r="E56" s="343"/>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2" t="s">
        <v>15802</v>
      </c>
      <c r="E57" s="343"/>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2" t="s">
        <v>15802</v>
      </c>
      <c r="E58" s="343"/>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2"/>
      <c r="E59" s="343"/>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Haben Sie alle Schmelzhütten ermittelt, die das 3TG-Mineral für Ihre Lieferkette bereitstellen?  (*)</v>
      </c>
      <c r="C61" s="10"/>
      <c r="D61" s="330" t="str">
        <f ca="1">D25</f>
        <v>Antwort</v>
      </c>
      <c r="E61" s="330"/>
      <c r="F61" s="18"/>
      <c r="G61" s="44" t="str">
        <f ca="1">G25</f>
        <v>Kommentare</v>
      </c>
      <c r="H61" s="327"/>
      <c r="I61" s="327"/>
      <c r="J61" s="327"/>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0"/>
      <c r="E62" s="341"/>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1" t="s">
        <v>488</v>
      </c>
      <c r="E63" s="322"/>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1" t="s">
        <v>488</v>
      </c>
      <c r="E64" s="322"/>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1"/>
      <c r="E65" s="322"/>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0" t="str">
        <f ca="1">D25</f>
        <v>Antwort</v>
      </c>
      <c r="E67" s="330"/>
      <c r="F67" s="18"/>
      <c r="G67" s="44" t="str">
        <f ca="1">G25</f>
        <v>Kommentare</v>
      </c>
      <c r="H67" s="327" t="str">
        <f>IF(Q75="(*)","Click here to enter smelter names","")</f>
        <v/>
      </c>
      <c r="I67" s="327"/>
      <c r="J67" s="327"/>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1"/>
      <c r="E68" s="322"/>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1" t="s">
        <v>488</v>
      </c>
      <c r="E69" s="322"/>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1" t="s">
        <v>488</v>
      </c>
      <c r="E70" s="322"/>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1"/>
      <c r="E71" s="322"/>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6" t="str">
        <f ca="1">OFFSET(L!$C$1,MATCH("Declaration"&amp;ADDRESS(ROW(),COLUMN(),4),L!$A:$A,0)-1,SL,,)</f>
        <v>Beantworten Sie folgende Fragen auf Firmenebene</v>
      </c>
      <c r="C73" s="326"/>
      <c r="D73" s="326"/>
      <c r="E73" s="326"/>
      <c r="F73" s="326"/>
      <c r="G73" s="326"/>
      <c r="H73" s="326"/>
      <c r="I73" s="326"/>
      <c r="J73" s="32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28" t="str">
        <f ca="1">D25</f>
        <v>Antwort</v>
      </c>
      <c r="E74" s="328"/>
      <c r="F74" s="53"/>
      <c r="G74" s="328" t="str">
        <f ca="1">G25</f>
        <v>Kommentare</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1" t="s">
        <v>488</v>
      </c>
      <c r="E75" s="322"/>
      <c r="F75" s="57"/>
      <c r="G75" s="323"/>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1" t="s">
        <v>488</v>
      </c>
      <c r="E77" s="322"/>
      <c r="F77" s="57"/>
      <c r="G77" s="349" t="s">
        <v>15803</v>
      </c>
      <c r="H77" s="350"/>
      <c r="I77" s="350"/>
      <c r="J77" s="35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1" t="s">
        <v>488</v>
      </c>
      <c r="E79" s="322"/>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1" t="s">
        <v>488</v>
      </c>
      <c r="E81" s="322"/>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1" t="s">
        <v>14982</v>
      </c>
      <c r="E83" s="322"/>
      <c r="F83" s="57"/>
      <c r="G83" s="323"/>
      <c r="H83" s="324"/>
      <c r="I83" s="324"/>
      <c r="J83" s="32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4" t="s">
        <v>488</v>
      </c>
      <c r="E85" s="335"/>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1" t="s">
        <v>488</v>
      </c>
      <c r="E87" s="322"/>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6"/>
      <c r="H88" s="336"/>
      <c r="I88" s="336"/>
      <c r="J88" s="336"/>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1" t="s">
        <v>13976</v>
      </c>
      <c r="E89" s="322"/>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3" t="str">
        <f>IF(OR($D$8="",$I$3=""),"","Click here to check required fields completion")</f>
        <v/>
      </c>
      <c r="C90" s="333"/>
      <c r="D90" s="333"/>
      <c r="E90" s="333"/>
      <c r="F90" s="333"/>
      <c r="G90" s="333"/>
      <c r="H90" s="333"/>
      <c r="I90" s="333"/>
      <c r="J90" s="333"/>
      <c r="K90" s="36"/>
      <c r="L90" s="100"/>
      <c r="P90" s="3"/>
      <c r="Q90" s="3"/>
      <c r="R90" s="3"/>
      <c r="S90" s="3"/>
      <c r="T90" s="3"/>
      <c r="U90" s="3"/>
      <c r="V90" s="3"/>
      <c r="W90" s="3"/>
      <c r="X90" s="3"/>
      <c r="Y90" s="3"/>
      <c r="Z90" s="3"/>
      <c r="AA90" s="3"/>
      <c r="AB90" s="3"/>
      <c r="AC90" s="3"/>
      <c r="AD90" s="3"/>
      <c r="AE90" s="3"/>
      <c r="AF90" s="3"/>
      <c r="AG90" s="3"/>
      <c r="AH90" s="3"/>
    </row>
    <row r="91" spans="1:34" ht="15.75" thickBot="1">
      <c r="A91" s="331" t="str">
        <f ca="1">OFFSET(L!$C$1,MATCH("General"&amp;"Cpy",L!$A:$A,0)-1,SL,,)</f>
        <v>© 2023 Responsible Minerals Initiative. All rights reserved.</v>
      </c>
      <c r="B91" s="332"/>
      <c r="C91" s="332"/>
      <c r="D91" s="332"/>
      <c r="E91" s="332"/>
      <c r="F91" s="332"/>
      <c r="G91" s="332"/>
      <c r="H91" s="332"/>
      <c r="I91" s="332"/>
      <c r="J91" s="33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Yes</v>
      </c>
    </row>
    <row r="101" spans="2:7" ht="15.75" hidden="1">
      <c r="B101" s="239" t="s">
        <v>2481</v>
      </c>
      <c r="D101" s="286" t="str">
        <f>IF(AND(OR($D$27="Yes",$D$27=""),OR($D$33="Yes",$D$33="")),"Unknown","")</f>
        <v>Unknown</v>
      </c>
      <c r="E101" s="286" t="str">
        <f>IF(AND(OR($D$26="Yes",$D$26=""),OR($D$32="Yes",$D$32="")),"None","")</f>
        <v/>
      </c>
      <c r="G101" s="286" t="str">
        <f>IF(OR($D$28="Yes",$D$28=""),"No","")</f>
        <v>No</v>
      </c>
    </row>
    <row r="102" spans="2:7" ht="15.75" hidden="1">
      <c r="B102" s="239" t="s">
        <v>2482</v>
      </c>
      <c r="D102" s="286" t="str">
        <f>IF(AND(OR($D$28="Yes",$D$28=""),OR($D$34="Yes",$D$34="")),"Yes","")</f>
        <v>Yes</v>
      </c>
      <c r="E102" s="286" t="str">
        <f>IF(AND(OR($D$26="Yes",$D$26=""),OR($D$32="Yes",$D$32="")),"100%","")</f>
        <v/>
      </c>
      <c r="G102" s="286" t="str">
        <f>IF(OR($D$29="Yes",$D$29=""),"Yes","")</f>
        <v/>
      </c>
    </row>
    <row r="103" spans="2:7" ht="15.75" hidden="1">
      <c r="B103" s="239" t="s">
        <v>2483</v>
      </c>
      <c r="D103" s="286" t="str">
        <f>IF(AND(OR($D$28="Yes",$D$28=""),OR($D$34="Yes",$D$34="")),"No","")</f>
        <v>No</v>
      </c>
      <c r="E103" s="286" t="str">
        <f>IF(AND(OR($D$27="Yes",$D$27=""),OR($D$33="Yes",$D$33="")),"Greater than 90%","")</f>
        <v>Greater than 90%</v>
      </c>
      <c r="G103" s="286" t="str">
        <f>IF(OR($D$29="Yes",$D$29=""),"No","")</f>
        <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
      </c>
      <c r="E105" s="286" t="str">
        <f>IF(AND(OR($D$27="Yes",$D$27=""),OR($D$33="Yes",$D$33="")),"Greater than 50%","")</f>
        <v>Greater than 50%</v>
      </c>
    </row>
    <row r="106" spans="2:7" ht="15.75" hidden="1">
      <c r="B106" s="239" t="s">
        <v>12394</v>
      </c>
      <c r="D106" s="286" t="str">
        <f>IF(AND(OR($D$29="Yes",$D$29=""),OR($D$35="Yes",$D$35="")),"No","")</f>
        <v/>
      </c>
      <c r="E106" s="286" t="str">
        <f>IF(AND(OR($D$27="Yes",$D$27=""),OR($D$33="Yes",$D$33="")),"50% or less","")</f>
        <v>50% or less</v>
      </c>
    </row>
    <row r="107" spans="2:7" ht="15.75" hidden="1">
      <c r="B107" s="239" t="s">
        <v>489</v>
      </c>
      <c r="D107" s="286" t="str">
        <f>IF(AND(OR($D$29="Yes",$D$29=""),OR($D$35="Yes",$D$35="")),"Unknown","")</f>
        <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2C2DE6F-4A11-4EAA-BC64-3038AEB557D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5" sqref="C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UM ZU BEGINNEN:</v>
      </c>
      <c r="C2" s="172"/>
      <c r="D2" s="172"/>
      <c r="E2" s="172"/>
      <c r="F2" s="193"/>
      <c r="G2" s="193"/>
      <c r="H2" s="193"/>
      <c r="I2" s="194"/>
      <c r="J2" s="382" t="str">
        <f ca="1">OFFSET(L!$C$1,MATCH("Smelter List"&amp;ADDRESS(ROW(),COLUMN(),4),L!$A:$A,0)-1,SL,,)</f>
        <v>Link zur "RMAP Conformant Smelter"- Liste</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 xml:space="preserve">Eingabespalte Schmelzhüttenidentifizierungsnummer </v>
      </c>
      <c r="B4" s="217" t="str">
        <f ca="1">OFFSET(L!$C$1,MATCH("Smelter List"&amp;ADDRESS(ROW(),COLUMN(),4),L!$A:$A,0)-1,SL,,)</f>
        <v>Metall (1)</v>
      </c>
      <c r="C4" s="217" t="str">
        <f ca="1">OFFSET(L!$C$1,MATCH("Smelter List"&amp;ADDRESS(ROW(),COLUMN(),4),L!$A:$A,0)-1,SL,,)</f>
        <v>Schmelzhüttensuche (*)</v>
      </c>
      <c r="D4" s="217" t="str">
        <f ca="1">OFFSET(L!$C$1,MATCH("Smelter List"&amp;ADDRESS(ROW(),COLUMN(),4),L!$A:$A,0)-1,SL,,)</f>
        <v>Schmelzhüttenname (1)</v>
      </c>
      <c r="E4" s="217" t="str">
        <f ca="1">OFFSET(L!$C$1,MATCH("Smelter List"&amp;ADDRESS(ROW(),COLUMN(),4),L!$A:$A,0)-1,SL,,)</f>
        <v>Schmelzhütten: Land (*)</v>
      </c>
      <c r="F4" s="217" t="str">
        <f ca="1">OFFSET(L!$C$1,MATCH("Smelter List"&amp;ADDRESS(ROW(),COLUMN(),4),L!$A:$A,0)-1,SL,,)</f>
        <v>Schmelzhütte Identifizierung</v>
      </c>
      <c r="G4" s="217"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7" t="s">
        <v>12420</v>
      </c>
      <c r="S4" s="217" t="s">
        <v>12403</v>
      </c>
      <c r="T4" s="217" t="s">
        <v>12404</v>
      </c>
      <c r="U4" s="200"/>
      <c r="W4" s="159" t="s">
        <v>1319</v>
      </c>
      <c r="X4" s="159" t="s">
        <v>938</v>
      </c>
      <c r="AH4" s="145" t="s">
        <v>490</v>
      </c>
    </row>
    <row r="5" spans="1:34" s="228" customFormat="1" ht="24" customHeight="1">
      <c r="A5" s="266" t="s">
        <v>2278</v>
      </c>
      <c r="B5" s="182" t="str">
        <f ca="1">IF(LEN(A5)=0,"",INDEX('Smelter Look-up'!$A:$A,MATCH($A5,'Smelter Look-up'!$E:$E,0)))</f>
        <v>Tin</v>
      </c>
      <c r="C5" s="186" t="str">
        <f ca="1">IF(LEN(A5)=0,"",INDEX('Smelter Look-up'!$C:$C,MATCH($A5,'Smelter Look-up'!$E:$E,0)))</f>
        <v>Chenzhou Yunxiang Mining and Metallurgy Co., Ltd.</v>
      </c>
      <c r="D5" s="233"/>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5"/>
      <c r="L5" s="225"/>
      <c r="M5" s="225"/>
      <c r="N5" s="225"/>
      <c r="O5" s="225"/>
      <c r="P5" s="185"/>
      <c r="Q5" s="226"/>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IF(B5="","",IF(ISERROR(MATCH($J5,SorP!$B$1:$B$6279,0)),"",INDIRECT("'SorP'!$A$"&amp;MATCH($J5,SorP!$B$1:$B$6279,0))))</f>
        <v>CN-HN</v>
      </c>
      <c r="U5" s="201"/>
      <c r="V5" s="227">
        <f ca="1">IF(C5="",NA(),IF(OR(C5="Smelter not listed",C5="Smelter not yet identified"),MATCH($B5&amp;$D5,'Smelter Look-up'!$J:$J,0),MATCH($B5&amp;$C5,'Smelter Look-up'!$J:$J,0)))</f>
        <v>400</v>
      </c>
      <c r="X5" s="228">
        <f t="shared" ref="X5" ca="1" si="1">IF(AND(C5="Smelter not listed",OR(LEN(D5)=0,LEN(E5)=0)),1,0)</f>
        <v>0</v>
      </c>
      <c r="AB5" s="229" t="str">
        <f t="shared" ref="AB5" ca="1" si="2">B5&amp;C5</f>
        <v>TinChenzhou Yunxiang Mining and Metallurgy Co., Ltd.</v>
      </c>
    </row>
    <row r="6" spans="1:34" s="228" customFormat="1" ht="19.899999999999999" customHeight="1">
      <c r="A6" s="266" t="s">
        <v>15095</v>
      </c>
      <c r="B6" s="182" t="str">
        <f ca="1">IF(LEN(A6)=0,"",INDEX('Smelter Look-up'!$A:$A,MATCH($A6,'Smelter Look-up'!$E:$E,0)))</f>
        <v>Tin</v>
      </c>
      <c r="C6" s="186" t="str">
        <f ca="1">IF(LEN(A6)=0,"",INDEX('Smelter Look-up'!$C:$C,MATCH($A6,'Smelter Look-up'!$E:$E,0)))</f>
        <v>PT Aries Kencana Sejahtera</v>
      </c>
      <c r="D6" s="233"/>
      <c r="E6" s="182" t="str">
        <f ca="1">IF(ISERROR($V6),"",OFFSET('Smelter Look-up'!$D$4,$V6-4,0)&amp;"")</f>
        <v>INDONESIA</v>
      </c>
      <c r="F6" s="182" t="str">
        <f ca="1">IF(ISERROR($V6),"",OFFSET('Smelter Look-up'!$E$4,$V6-4,0))</f>
        <v>CID000309</v>
      </c>
      <c r="G6" s="182" t="str">
        <f ca="1">IF(C6=$X$4,IF(ISERROR($V6),"Enter smelter details","RMI"),IF(ISERROR($V6),"",OFFSET('Smelter Look-up'!$F$4,$V6-4,0)))</f>
        <v>RMI</v>
      </c>
      <c r="H6" s="183">
        <f ca="1">IF(ISERROR($V6),"",OFFSET('Smelter Look-up'!$G$4,$V6-4,0))</f>
        <v>0</v>
      </c>
      <c r="I6" s="184" t="str">
        <f ca="1">IF(ISERROR($V6),"",OFFSET('Smelter Look-up'!$H$4,$V6-4,0))</f>
        <v>Pemali</v>
      </c>
      <c r="J6" s="184" t="str">
        <f ca="1">IF(ISERROR($V6),"",OFFSET('Smelter Look-up'!$I$4,$V6-4,0))</f>
        <v>Kepulauan Bangka Belitung</v>
      </c>
      <c r="K6" s="225"/>
      <c r="L6" s="225"/>
      <c r="M6" s="225"/>
      <c r="N6" s="225"/>
      <c r="O6" s="225"/>
      <c r="P6" s="185"/>
      <c r="Q6" s="226"/>
      <c r="R6" s="182" t="str">
        <f ca="1">IF(ISERROR($V6),"",OFFSET('Smelter Look-up'!$C$4,$V6-4,0)&amp;"")</f>
        <v>PT Aries Kencana Sejahtera</v>
      </c>
      <c r="S6" s="181" t="str">
        <f t="shared" ref="S6:S37" ca="1" si="3">IF(B6="","",IF(ISERROR(MATCH($E6,CL,0)),"Unknown",INDIRECT("'C'!$A$"&amp;MATCH($E6,CL,0)+1)))</f>
        <v>ID</v>
      </c>
      <c r="T6" s="181" t="str">
        <f ca="1">IF(B6="","",IF(ISERROR(MATCH($J6,SorP!$B$1:$B$6279,0)),"",INDIRECT("'SorP'!$A$"&amp;MATCH($J6,SorP!$B$1:$B$6279,0))))</f>
        <v>ID-BB</v>
      </c>
      <c r="U6" s="201"/>
      <c r="V6" s="227">
        <f ca="1">IF(C6="",NA(),IF(OR(C6="Smelter not listed",C6="Smelter not yet identified"),MATCH($B6&amp;$D6,'Smelter Look-up'!$J:$J,0),MATCH($B6&amp;$C6,'Smelter Look-up'!$J:$J,0)))</f>
        <v>486</v>
      </c>
      <c r="X6" s="228">
        <f t="shared" ref="X6:X37" ca="1" si="4">IF(AND(C6="Smelter not listed",OR(LEN(D6)=0,LEN(E6)=0)),1,0)</f>
        <v>0</v>
      </c>
      <c r="AB6" s="229" t="str">
        <f t="shared" ref="AB6:AB37" ca="1" si="5">B6&amp;C6</f>
        <v>TinPT Aries Kencana Sejahtera</v>
      </c>
    </row>
    <row r="7" spans="1:34" s="228" customFormat="1" ht="24" customHeight="1">
      <c r="A7" s="266" t="s">
        <v>764</v>
      </c>
      <c r="B7" s="182" t="str">
        <f ca="1">IF(LEN(A7)=0,"",INDEX('Smelter Look-up'!$A:$A,MATCH($A7,'Smelter Look-up'!$E:$E,0)))</f>
        <v>Tin</v>
      </c>
      <c r="C7" s="186" t="str">
        <f ca="1">IF(LEN(A7)=0,"",INDEX('Smelter Look-up'!$C:$C,MATCH($A7,'Smelter Look-up'!$E:$E,0)))</f>
        <v>EM Vinto</v>
      </c>
      <c r="D7" s="233"/>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5"/>
      <c r="L7" s="225"/>
      <c r="M7" s="225"/>
      <c r="N7" s="225"/>
      <c r="O7" s="225"/>
      <c r="P7" s="185"/>
      <c r="Q7" s="226"/>
      <c r="R7" s="182" t="str">
        <f ca="1">IF(ISERROR($V7),"",OFFSET('Smelter Look-up'!$C$4,$V7-4,0)&amp;"")</f>
        <v>EM Vinto</v>
      </c>
      <c r="S7" s="181" t="str">
        <f t="shared" ca="1" si="3"/>
        <v>BO</v>
      </c>
      <c r="T7" s="181" t="str">
        <f ca="1">IF(B7="","",IF(ISERROR(MATCH($J7,SorP!$B$1:$B$6279,0)),"",INDIRECT("'SorP'!$A$"&amp;MATCH($J7,SorP!$B$1:$B$6279,0))))</f>
        <v>BO-O</v>
      </c>
      <c r="U7" s="201"/>
      <c r="V7" s="227">
        <f ca="1">IF(C7="",NA(),IF(OR(C7="Smelter not listed",C7="Smelter not yet identified"),MATCH($B7&amp;$D7,'Smelter Look-up'!$J:$J,0),MATCH($B7&amp;$C7,'Smelter Look-up'!$J:$J,0)))</f>
        <v>421</v>
      </c>
      <c r="X7" s="228">
        <f t="shared" ca="1" si="4"/>
        <v>0</v>
      </c>
      <c r="AB7" s="229" t="str">
        <f t="shared" ca="1" si="5"/>
        <v>TinEM Vinto</v>
      </c>
    </row>
    <row r="8" spans="1:34" s="228" customFormat="1" ht="19.899999999999999" customHeight="1">
      <c r="A8" s="266" t="s">
        <v>766</v>
      </c>
      <c r="B8" s="182" t="str">
        <f ca="1">IF(LEN(A8)=0,"",INDEX('Smelter Look-up'!$A:$A,MATCH($A8,'Smelter Look-up'!$E:$E,0)))</f>
        <v>Tin</v>
      </c>
      <c r="C8" s="186" t="str">
        <f ca="1">IF(LEN(A8)=0,"",INDEX('Smelter Look-up'!$C:$C,MATCH($A8,'Smelter Look-up'!$E:$E,0)))</f>
        <v>Fenix Metals</v>
      </c>
      <c r="D8" s="233"/>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5"/>
      <c r="L8" s="225"/>
      <c r="M8" s="225"/>
      <c r="N8" s="225"/>
      <c r="O8" s="225"/>
      <c r="P8" s="185"/>
      <c r="Q8" s="226"/>
      <c r="R8" s="182" t="str">
        <f ca="1">IF(ISERROR($V8),"",OFFSET('Smelter Look-up'!$C$4,$V8-4,0)&amp;"")</f>
        <v>Fenix Metals</v>
      </c>
      <c r="S8" s="181" t="str">
        <f t="shared" ca="1" si="3"/>
        <v>PL</v>
      </c>
      <c r="T8" s="181" t="str">
        <f ca="1">IF(B8="","",IF(ISERROR(MATCH($J8,SorP!$B$1:$B$6279,0)),"",INDIRECT("'SorP'!$A$"&amp;MATCH($J8,SorP!$B$1:$B$6279,0))))</f>
        <v>PL-18</v>
      </c>
      <c r="U8" s="201"/>
      <c r="V8" s="227">
        <f ca="1">IF(C8="",NA(),IF(OR(C8="Smelter not listed",C8="Smelter not yet identified"),MATCH($B8&amp;$D8,'Smelter Look-up'!$J:$J,0),MATCH($B8&amp;$C8,'Smelter Look-up'!$J:$J,0)))</f>
        <v>430</v>
      </c>
      <c r="X8" s="228">
        <f t="shared" ca="1" si="4"/>
        <v>0</v>
      </c>
      <c r="AB8" s="229" t="str">
        <f t="shared" ca="1" si="5"/>
        <v>TinFenix Metals</v>
      </c>
    </row>
    <row r="9" spans="1:34" s="228" customFormat="1" ht="19.899999999999999" customHeight="1">
      <c r="A9" s="266" t="s">
        <v>771</v>
      </c>
      <c r="B9" s="182" t="str">
        <f ca="1">IF(LEN(A9)=0,"",INDEX('Smelter Look-up'!$A:$A,MATCH($A9,'Smelter Look-up'!$E:$E,0)))</f>
        <v>Tin</v>
      </c>
      <c r="C9" s="186" t="str">
        <f ca="1">IF(LEN(A9)=0,"",INDEX('Smelter Look-up'!$C:$C,MATCH($A9,'Smelter Look-up'!$E:$E,0)))</f>
        <v>Malaysia Smelting Corporation (MSC)</v>
      </c>
      <c r="D9" s="233"/>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5"/>
      <c r="L9" s="225"/>
      <c r="M9" s="225"/>
      <c r="N9" s="225"/>
      <c r="O9" s="225"/>
      <c r="P9" s="185"/>
      <c r="Q9" s="226"/>
      <c r="R9" s="182" t="str">
        <f ca="1">IF(ISERROR($V9),"",OFFSET('Smelter Look-up'!$C$4,$V9-4,0)&amp;"")</f>
        <v>Malaysia Smelting Corporation (MSC)</v>
      </c>
      <c r="S9" s="181" t="str">
        <f t="shared" ca="1" si="3"/>
        <v>MY</v>
      </c>
      <c r="T9" s="181" t="str">
        <f ca="1">IF(B9="","",IF(ISERROR(MATCH($J9,SorP!$B$1:$B$6279,0)),"",INDIRECT("'SorP'!$A$"&amp;MATCH($J9,SorP!$B$1:$B$6279,0))))</f>
        <v>MY-07</v>
      </c>
      <c r="U9" s="201"/>
      <c r="V9" s="227">
        <f ca="1">IF(C9="",NA(),IF(OR(C9="Smelter not listed",C9="Smelter not yet identified"),MATCH($B9&amp;$D9,'Smelter Look-up'!$J:$J,0),MATCH($B9&amp;$C9,'Smelter Look-up'!$J:$J,0)))</f>
        <v>458</v>
      </c>
      <c r="X9" s="228">
        <f t="shared" ca="1" si="4"/>
        <v>0</v>
      </c>
      <c r="AB9" s="229" t="str">
        <f t="shared" ca="1" si="5"/>
        <v>TinMalaysia Smelting Corporation (MSC)</v>
      </c>
    </row>
    <row r="10" spans="1:34" s="228" customFormat="1" ht="19.899999999999999" customHeight="1">
      <c r="A10" s="266" t="s">
        <v>772</v>
      </c>
      <c r="B10" s="182" t="str">
        <f ca="1">IF(LEN(A10)=0,"",INDEX('Smelter Look-up'!$A:$A,MATCH($A10,'Smelter Look-up'!$E:$E,0)))</f>
        <v>Tin</v>
      </c>
      <c r="C10" s="186" t="str">
        <f ca="1">IF(LEN(A10)=0,"",INDEX('Smelter Look-up'!$C:$C,MATCH($A10,'Smelter Look-up'!$E:$E,0)))</f>
        <v>Mineracao Taboca S.A.</v>
      </c>
      <c r="D10" s="233"/>
      <c r="E10" s="182" t="str">
        <f ca="1">IF(ISERROR($V10),"",OFFSET('Smelter Look-up'!$D$4,$V10-4,0)&amp;"")</f>
        <v>BRAZIL</v>
      </c>
      <c r="F10" s="182" t="str">
        <f ca="1">IF(ISERROR($V10),"",OFFSET('Smelter Look-up'!$E$4,$V10-4,0))</f>
        <v>CID001173</v>
      </c>
      <c r="G10" s="182" t="str">
        <f ca="1">IF(C10=$X$4,IF(ISERROR($V10),"Enter smelter details","RMI"),IF(ISERROR($V10),"",OFFSET('Smelter Look-up'!$F$4,$V10-4,0)))</f>
        <v>RMI</v>
      </c>
      <c r="H10" s="183">
        <f ca="1">IF(ISERROR($V10),"",OFFSET('Smelter Look-up'!$G$4,$V10-4,0))</f>
        <v>0</v>
      </c>
      <c r="I10" s="184" t="str">
        <f ca="1">IF(ISERROR($V10),"",OFFSET('Smelter Look-up'!$H$4,$V10-4,0))</f>
        <v>Bairro Guarapiranga</v>
      </c>
      <c r="J10" s="184" t="str">
        <f ca="1">IF(ISERROR($V10),"",OFFSET('Smelter Look-up'!$I$4,$V10-4,0))</f>
        <v>São Paulo</v>
      </c>
      <c r="K10" s="225"/>
      <c r="L10" s="225"/>
      <c r="M10" s="225"/>
      <c r="N10" s="225"/>
      <c r="O10" s="225"/>
      <c r="P10" s="185"/>
      <c r="Q10" s="226"/>
      <c r="R10" s="182" t="str">
        <f ca="1">IF(ISERROR($V10),"",OFFSET('Smelter Look-up'!$C$4,$V10-4,0)&amp;"")</f>
        <v>Mineracao Taboca S.A.</v>
      </c>
      <c r="S10" s="181" t="str">
        <f t="shared" ca="1" si="3"/>
        <v>BR</v>
      </c>
      <c r="T10" s="181" t="str">
        <f ca="1">IF(B10="","",IF(ISERROR(MATCH($J10,SorP!$B$1:$B$6279,0)),"",INDIRECT("'SorP'!$A$"&amp;MATCH($J10,SorP!$B$1:$B$6279,0))))</f>
        <v>BR-SP</v>
      </c>
      <c r="U10" s="201"/>
      <c r="V10" s="227">
        <f ca="1">IF(C10="",NA(),IF(OR(C10="Smelter not listed",C10="Smelter not yet identified"),MATCH($B10&amp;$D10,'Smelter Look-up'!$J:$J,0),MATCH($B10&amp;$C10,'Smelter Look-up'!$J:$J,0)))</f>
        <v>465</v>
      </c>
      <c r="X10" s="228">
        <f t="shared" ca="1" si="4"/>
        <v>0</v>
      </c>
      <c r="AB10" s="229" t="str">
        <f t="shared" ca="1" si="5"/>
        <v>TinMineracao Taboca S.A.</v>
      </c>
    </row>
    <row r="11" spans="1:34" s="228" customFormat="1" ht="19.899999999999999" customHeight="1">
      <c r="A11" s="266" t="s">
        <v>773</v>
      </c>
      <c r="B11" s="182" t="str">
        <f ca="1">IF(LEN(A11)=0,"",INDEX('Smelter Look-up'!$A:$A,MATCH($A11,'Smelter Look-up'!$E:$E,0)))</f>
        <v>Tin</v>
      </c>
      <c r="C11" s="186" t="str">
        <f ca="1">IF(LEN(A11)=0,"",INDEX('Smelter Look-up'!$C:$C,MATCH($A11,'Smelter Look-up'!$E:$E,0)))</f>
        <v>Minsur</v>
      </c>
      <c r="D11" s="233"/>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5"/>
      <c r="L11" s="225"/>
      <c r="M11" s="225"/>
      <c r="N11" s="225"/>
      <c r="O11" s="225"/>
      <c r="P11" s="185"/>
      <c r="Q11" s="226"/>
      <c r="R11" s="182" t="str">
        <f ca="1">IF(ISERROR($V11),"",OFFSET('Smelter Look-up'!$C$4,$V11-4,0)&amp;"")</f>
        <v>Minsur</v>
      </c>
      <c r="S11" s="181" t="str">
        <f t="shared" ca="1" si="3"/>
        <v>PE</v>
      </c>
      <c r="T11" s="181" t="str">
        <f ca="1">IF(B11="","",IF(ISERROR(MATCH($J11,SorP!$B$1:$B$6279,0)),"",INDIRECT("'SorP'!$A$"&amp;MATCH($J11,SorP!$B$1:$B$6279,0))))</f>
        <v>PE-ICA</v>
      </c>
      <c r="U11" s="201"/>
      <c r="V11" s="227">
        <f ca="1">IF(C11="",NA(),IF(OR(C11="Smelter not listed",C11="Smelter not yet identified"),MATCH($B11&amp;$D11,'Smelter Look-up'!$J:$J,0),MATCH($B11&amp;$C11,'Smelter Look-up'!$J:$J,0)))</f>
        <v>470</v>
      </c>
      <c r="X11" s="228">
        <f t="shared" ca="1" si="4"/>
        <v>0</v>
      </c>
      <c r="AB11" s="229" t="str">
        <f t="shared" ca="1" si="5"/>
        <v>TinMinsur</v>
      </c>
    </row>
    <row r="12" spans="1:34" s="228" customFormat="1" ht="19.899999999999999" customHeight="1">
      <c r="A12" s="266" t="s">
        <v>777</v>
      </c>
      <c r="B12" s="182" t="str">
        <f ca="1">IF(LEN(A12)=0,"",INDEX('Smelter Look-up'!$A:$A,MATCH($A12,'Smelter Look-up'!$E:$E,0)))</f>
        <v>Tin</v>
      </c>
      <c r="C12" s="186" t="str">
        <f ca="1">IF(LEN(A12)=0,"",INDEX('Smelter Look-up'!$C:$C,MATCH($A12,'Smelter Look-up'!$E:$E,0)))</f>
        <v>Operaciones Metalurgicas S.A.</v>
      </c>
      <c r="D12" s="233"/>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5"/>
      <c r="L12" s="225"/>
      <c r="M12" s="225"/>
      <c r="N12" s="225"/>
      <c r="O12" s="225"/>
      <c r="P12" s="185"/>
      <c r="Q12" s="226"/>
      <c r="R12" s="182" t="str">
        <f ca="1">IF(ISERROR($V12),"",OFFSET('Smelter Look-up'!$C$4,$V12-4,0)&amp;"")</f>
        <v>Operaciones Metalurgicas S.A.</v>
      </c>
      <c r="S12" s="181" t="str">
        <f t="shared" ca="1" si="3"/>
        <v>BO</v>
      </c>
      <c r="T12" s="181" t="str">
        <f ca="1">IF(B12="","",IF(ISERROR(MATCH($J12,SorP!$B$1:$B$6279,0)),"",INDIRECT("'SorP'!$A$"&amp;MATCH($J12,SorP!$B$1:$B$6279,0))))</f>
        <v>BO-O</v>
      </c>
      <c r="U12" s="201"/>
      <c r="V12" s="227">
        <f ca="1">IF(C12="",NA(),IF(OR(C12="Smelter not listed",C12="Smelter not yet identified"),MATCH($B12&amp;$D12,'Smelter Look-up'!$J:$J,0),MATCH($B12&amp;$C12,'Smelter Look-up'!$J:$J,0)))</f>
        <v>482</v>
      </c>
      <c r="X12" s="228">
        <f t="shared" ca="1" si="4"/>
        <v>0</v>
      </c>
      <c r="AB12" s="229" t="str">
        <f t="shared" ca="1" si="5"/>
        <v>TinOperaciones Metalurgicas S.A.</v>
      </c>
    </row>
    <row r="13" spans="1:34" s="228" customFormat="1" ht="19.899999999999999" customHeight="1">
      <c r="A13" s="266" t="s">
        <v>778</v>
      </c>
      <c r="B13" s="182" t="str">
        <f ca="1">IF(LEN(A13)=0,"",INDEX('Smelter Look-up'!$A:$A,MATCH($A13,'Smelter Look-up'!$E:$E,0)))</f>
        <v>Tin</v>
      </c>
      <c r="C13" s="186" t="str">
        <f ca="1">IF(LEN(A13)=0,"",INDEX('Smelter Look-up'!$C:$C,MATCH($A13,'Smelter Look-up'!$E:$E,0)))</f>
        <v>PT Artha Cipta Langgeng</v>
      </c>
      <c r="D13" s="233"/>
      <c r="E13" s="182" t="str">
        <f ca="1">IF(ISERROR($V13),"",OFFSET('Smelter Look-up'!$D$4,$V13-4,0)&amp;"")</f>
        <v>INDONESIA</v>
      </c>
      <c r="F13" s="182" t="str">
        <f ca="1">IF(ISERROR($V13),"",OFFSET('Smelter Look-up'!$E$4,$V13-4,0))</f>
        <v>CID001399</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5"/>
      <c r="L13" s="225"/>
      <c r="M13" s="225"/>
      <c r="N13" s="225"/>
      <c r="O13" s="225"/>
      <c r="P13" s="185"/>
      <c r="Q13" s="226"/>
      <c r="R13" s="182" t="str">
        <f ca="1">IF(ISERROR($V13),"",OFFSET('Smelter Look-up'!$C$4,$V13-4,0)&amp;"")</f>
        <v>PT Artha Cipta Langgeng</v>
      </c>
      <c r="S13" s="181" t="str">
        <f t="shared" ca="1" si="3"/>
        <v>ID</v>
      </c>
      <c r="T13" s="181" t="str">
        <f ca="1">IF(B13="","",IF(ISERROR(MATCH($J13,SorP!$B$1:$B$6279,0)),"",INDIRECT("'SorP'!$A$"&amp;MATCH($J13,SorP!$B$1:$B$6279,0))))</f>
        <v>ID-BB</v>
      </c>
      <c r="U13" s="201"/>
      <c r="V13" s="227">
        <f ca="1">IF(C13="",NA(),IF(OR(C13="Smelter not listed",C13="Smelter not yet identified"),MATCH($B13&amp;$D13,'Smelter Look-up'!$J:$J,0),MATCH($B13&amp;$C13,'Smelter Look-up'!$J:$J,0)))</f>
        <v>487</v>
      </c>
      <c r="X13" s="228">
        <f t="shared" ca="1" si="4"/>
        <v>0</v>
      </c>
      <c r="AB13" s="229" t="str">
        <f t="shared" ca="1" si="5"/>
        <v>TinPT Artha Cipta Langgeng</v>
      </c>
    </row>
    <row r="14" spans="1:34" s="228" customFormat="1" ht="19.899999999999999" customHeight="1">
      <c r="A14" s="266" t="s">
        <v>15108</v>
      </c>
      <c r="B14" s="182" t="str">
        <f ca="1">IF(LEN(A14)=0,"",INDEX('Smelter Look-up'!$A:$A,MATCH($A14,'Smelter Look-up'!$E:$E,0)))</f>
        <v>Tin</v>
      </c>
      <c r="C14" s="186" t="str">
        <f ca="1">IF(LEN(A14)=0,"",INDEX('Smelter Look-up'!$C:$C,MATCH($A14,'Smelter Look-up'!$E:$E,0)))</f>
        <v>PT Babel Surya Alam Lestari</v>
      </c>
      <c r="D14" s="233"/>
      <c r="E14" s="182" t="str">
        <f ca="1">IF(ISERROR($V14),"",OFFSET('Smelter Look-up'!$D$4,$V14-4,0)&amp;"")</f>
        <v>INDONESIA</v>
      </c>
      <c r="F14" s="182" t="str">
        <f ca="1">IF(ISERROR($V14),"",OFFSET('Smelter Look-up'!$E$4,$V14-4,0))</f>
        <v>CID001406</v>
      </c>
      <c r="G14" s="182" t="str">
        <f ca="1">IF(C14=$X$4,IF(ISERROR($V14),"Enter smelter details","RMI"),IF(ISERROR($V14),"",OFFSET('Smelter Look-up'!$F$4,$V14-4,0)))</f>
        <v>RMI</v>
      </c>
      <c r="H14" s="183">
        <f ca="1">IF(ISERROR($V14),"",OFFSET('Smelter Look-up'!$G$4,$V14-4,0))</f>
        <v>0</v>
      </c>
      <c r="I14" s="184" t="str">
        <f ca="1">IF(ISERROR($V14),"",OFFSET('Smelter Look-up'!$H$4,$V14-4,0))</f>
        <v>Badau</v>
      </c>
      <c r="J14" s="184" t="str">
        <f ca="1">IF(ISERROR($V14),"",OFFSET('Smelter Look-up'!$I$4,$V14-4,0))</f>
        <v>Kepulauan Bangka Belitung</v>
      </c>
      <c r="K14" s="225"/>
      <c r="L14" s="225"/>
      <c r="M14" s="225"/>
      <c r="N14" s="225"/>
      <c r="O14" s="225"/>
      <c r="P14" s="185"/>
      <c r="Q14" s="226"/>
      <c r="R14" s="182" t="str">
        <f ca="1">IF(ISERROR($V14),"",OFFSET('Smelter Look-up'!$C$4,$V14-4,0)&amp;"")</f>
        <v>PT Babel Surya Alam Lestari</v>
      </c>
      <c r="S14" s="181" t="str">
        <f t="shared" ca="1" si="3"/>
        <v>ID</v>
      </c>
      <c r="T14" s="181" t="str">
        <f ca="1">IF(B14="","",IF(ISERROR(MATCH($J14,SorP!$B$1:$B$6279,0)),"",INDIRECT("'SorP'!$A$"&amp;MATCH($J14,SorP!$B$1:$B$6279,0))))</f>
        <v>ID-BB</v>
      </c>
      <c r="U14" s="201"/>
      <c r="V14" s="227">
        <f ca="1">IF(C14="",NA(),IF(OR(C14="Smelter not listed",C14="Smelter not yet identified"),MATCH($B14&amp;$D14,'Smelter Look-up'!$J:$J,0),MATCH($B14&amp;$C14,'Smelter Look-up'!$J:$J,0)))</f>
        <v>490</v>
      </c>
      <c r="X14" s="228">
        <f t="shared" ca="1" si="4"/>
        <v>0</v>
      </c>
      <c r="AB14" s="229" t="str">
        <f t="shared" ca="1" si="5"/>
        <v>TinPT Babel Surya Alam Lestari</v>
      </c>
    </row>
    <row r="15" spans="1:34" s="228" customFormat="1" ht="19.899999999999999" customHeight="1">
      <c r="A15" s="266" t="s">
        <v>779</v>
      </c>
      <c r="B15" s="182" t="str">
        <f ca="1">IF(LEN(A15)=0,"",INDEX('Smelter Look-up'!$A:$A,MATCH($A15,'Smelter Look-up'!$E:$E,0)))</f>
        <v>Tin</v>
      </c>
      <c r="C15" s="186" t="str">
        <f ca="1">IF(LEN(A15)=0,"",INDEX('Smelter Look-up'!$C:$C,MATCH($A15,'Smelter Look-up'!$E:$E,0)))</f>
        <v>PT Mitra Stania Prima</v>
      </c>
      <c r="D15" s="233"/>
      <c r="E15" s="182" t="str">
        <f ca="1">IF(ISERROR($V15),"",OFFSET('Smelter Look-up'!$D$4,$V15-4,0)&amp;"")</f>
        <v>INDONESIA</v>
      </c>
      <c r="F15" s="182" t="str">
        <f ca="1">IF(ISERROR($V15),"",OFFSET('Smelter Look-up'!$E$4,$V15-4,0))</f>
        <v>CID001453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5"/>
      <c r="L15" s="225"/>
      <c r="M15" s="225"/>
      <c r="N15" s="225"/>
      <c r="O15" s="225"/>
      <c r="P15" s="185"/>
      <c r="Q15" s="226"/>
      <c r="R15" s="182" t="str">
        <f ca="1">IF(ISERROR($V15),"",OFFSET('Smelter Look-up'!$C$4,$V15-4,0)&amp;"")</f>
        <v>PT Mitra Stania Prima</v>
      </c>
      <c r="S15" s="181" t="str">
        <f t="shared" ca="1" si="3"/>
        <v>ID</v>
      </c>
      <c r="T15" s="181" t="str">
        <f ca="1">IF(B15="","",IF(ISERROR(MATCH($J15,SorP!$B$1:$B$6279,0)),"",INDIRECT("'SorP'!$A$"&amp;MATCH($J15,SorP!$B$1:$B$6279,0))))</f>
        <v>ID-BB</v>
      </c>
      <c r="U15" s="201"/>
      <c r="V15" s="227">
        <f ca="1">IF(C15="",NA(),IF(OR(C15="Smelter not listed",C15="Smelter not yet identified"),MATCH($B15&amp;$D15,'Smelter Look-up'!$J:$J,0),MATCH($B15&amp;$C15,'Smelter Look-up'!$J:$J,0)))</f>
        <v>500</v>
      </c>
      <c r="X15" s="228">
        <f t="shared" ca="1" si="4"/>
        <v>0</v>
      </c>
      <c r="AB15" s="229" t="str">
        <f t="shared" ca="1" si="5"/>
        <v>TinPT Mitra Stania Prima</v>
      </c>
    </row>
    <row r="16" spans="1:34" s="228" customFormat="1" ht="19.899999999999999" customHeight="1">
      <c r="A16" s="266" t="s">
        <v>15112</v>
      </c>
      <c r="B16" s="182" t="str">
        <f ca="1">IF(LEN(A16)=0,"",INDEX('Smelter Look-up'!$A:$A,MATCH($A16,'Smelter Look-up'!$E:$E,0)))</f>
        <v>Tin</v>
      </c>
      <c r="C16" s="186" t="str">
        <f ca="1">IF(LEN(A16)=0,"",INDEX('Smelter Look-up'!$C:$C,MATCH($A16,'Smelter Look-up'!$E:$E,0)))</f>
        <v>PT Prima Timah Utama</v>
      </c>
      <c r="D16" s="233"/>
      <c r="E16" s="182" t="str">
        <f ca="1">IF(ISERROR($V16),"",OFFSET('Smelter Look-up'!$D$4,$V16-4,0)&amp;"")</f>
        <v>INDONESIA</v>
      </c>
      <c r="F16" s="182" t="str">
        <f ca="1">IF(ISERROR($V16),"",OFFSET('Smelter Look-up'!$E$4,$V16-4,0))</f>
        <v>CID001458</v>
      </c>
      <c r="G16" s="182" t="str">
        <f ca="1">IF(C16=$X$4,IF(ISERROR($V16),"Enter smelter details","RMI"),IF(ISERROR($V16),"",OFFSET('Smelter Look-up'!$F$4,$V16-4,0)))</f>
        <v>RMI</v>
      </c>
      <c r="H16" s="183">
        <f ca="1">IF(ISERROR($V16),"",OFFSET('Smelter Look-up'!$G$4,$V16-4,0))</f>
        <v>0</v>
      </c>
      <c r="I16" s="184" t="str">
        <f ca="1">IF(ISERROR($V16),"",OFFSET('Smelter Look-up'!$H$4,$V16-4,0))</f>
        <v>Pangkal Pinang</v>
      </c>
      <c r="J16" s="184" t="str">
        <f ca="1">IF(ISERROR($V16),"",OFFSET('Smelter Look-up'!$I$4,$V16-4,0))</f>
        <v>Kepulauan Bangka Belitung</v>
      </c>
      <c r="K16" s="225"/>
      <c r="L16" s="225"/>
      <c r="M16" s="225"/>
      <c r="N16" s="225"/>
      <c r="O16" s="225"/>
      <c r="P16" s="185"/>
      <c r="Q16" s="226"/>
      <c r="R16" s="182" t="str">
        <f ca="1">IF(ISERROR($V16),"",OFFSET('Smelter Look-up'!$C$4,$V16-4,0)&amp;"")</f>
        <v>PT Prima Timah Utama</v>
      </c>
      <c r="S16" s="181" t="str">
        <f t="shared" ca="1" si="3"/>
        <v>ID</v>
      </c>
      <c r="T16" s="181" t="str">
        <f ca="1">IF(B16="","",IF(ISERROR(MATCH($J16,SorP!$B$1:$B$6279,0)),"",INDIRECT("'SorP'!$A$"&amp;MATCH($J16,SorP!$B$1:$B$6279,0))))</f>
        <v>ID-BB</v>
      </c>
      <c r="U16" s="201"/>
      <c r="V16" s="227">
        <f ca="1">IF(C16="",NA(),IF(OR(C16="Smelter not listed",C16="Smelter not yet identified"),MATCH($B16&amp;$D16,'Smelter Look-up'!$J:$J,0),MATCH($B16&amp;$C16,'Smelter Look-up'!$J:$J,0)))</f>
        <v>504</v>
      </c>
      <c r="X16" s="228">
        <f t="shared" ca="1" si="4"/>
        <v>0</v>
      </c>
      <c r="AB16" s="229" t="str">
        <f t="shared" ca="1" si="5"/>
        <v>TinPT Prima Timah Utama</v>
      </c>
    </row>
    <row r="17" spans="1:28" s="228" customFormat="1" ht="19.899999999999999" customHeight="1">
      <c r="A17" s="266" t="s">
        <v>780</v>
      </c>
      <c r="B17" s="182" t="str">
        <f ca="1">IF(LEN(A17)=0,"",INDEX('Smelter Look-up'!$A:$A,MATCH($A17,'Smelter Look-up'!$E:$E,0)))</f>
        <v>Tin</v>
      </c>
      <c r="C17" s="186" t="str">
        <f ca="1">IF(LEN(A17)=0,"",INDEX('Smelter Look-up'!$C:$C,MATCH($A17,'Smelter Look-up'!$E:$E,0)))</f>
        <v>PT Refined Bangka Tin</v>
      </c>
      <c r="D17" s="233"/>
      <c r="E17" s="182" t="str">
        <f ca="1">IF(ISERROR($V17),"",OFFSET('Smelter Look-up'!$D$4,$V17-4,0)&amp;"")</f>
        <v>INDONESIA</v>
      </c>
      <c r="F17" s="182" t="str">
        <f ca="1">IF(ISERROR($V17),"",OFFSET('Smelter Look-up'!$E$4,$V17-4,0))</f>
        <v>CID001460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5"/>
      <c r="L17" s="225"/>
      <c r="M17" s="225"/>
      <c r="N17" s="225"/>
      <c r="O17" s="225"/>
      <c r="P17" s="185"/>
      <c r="Q17" s="226"/>
      <c r="R17" s="182" t="str">
        <f ca="1">IF(ISERROR($V17),"",OFFSET('Smelter Look-up'!$C$4,$V17-4,0)&amp;"")</f>
        <v>PT Refined Bangka Tin</v>
      </c>
      <c r="S17" s="181" t="str">
        <f t="shared" ca="1" si="3"/>
        <v>ID</v>
      </c>
      <c r="T17" s="181" t="str">
        <f ca="1">IF(B17="","",IF(ISERROR(MATCH($J17,SorP!$B$1:$B$6279,0)),"",INDIRECT("'SorP'!$A$"&amp;MATCH($J17,SorP!$B$1:$B$6279,0))))</f>
        <v>ID-BB</v>
      </c>
      <c r="U17" s="201"/>
      <c r="V17" s="227">
        <f ca="1">IF(C17="",NA(),IF(OR(C17="Smelter not listed",C17="Smelter not yet identified"),MATCH($B17&amp;$D17,'Smelter Look-up'!$J:$J,0),MATCH($B17&amp;$C17,'Smelter Look-up'!$J:$J,0)))</f>
        <v>507</v>
      </c>
      <c r="X17" s="228">
        <f t="shared" ca="1" si="4"/>
        <v>0</v>
      </c>
      <c r="AB17" s="229" t="str">
        <f t="shared" ca="1" si="5"/>
        <v>TinPT Refined Bangka Tin</v>
      </c>
    </row>
    <row r="18" spans="1:28" s="228" customFormat="1" ht="19.899999999999999" customHeight="1">
      <c r="A18" s="181" t="s">
        <v>15493</v>
      </c>
      <c r="B18" s="182" t="str">
        <f ca="1">IF(LEN(A18)=0,"",INDEX('Smelter Look-up'!$A:$A,MATCH($A18,'Smelter Look-up'!$E:$E,0)))</f>
        <v>Tin</v>
      </c>
      <c r="C18" s="186" t="str">
        <f ca="1">IF(LEN(A18)=0,"",INDEX('Smelter Look-up'!$C:$C,MATCH($A18,'Smelter Look-up'!$E:$E,0)))</f>
        <v>PT Sariwiguna Binasentosa</v>
      </c>
      <c r="D18" s="233"/>
      <c r="E18" s="182" t="str">
        <f ca="1">IF(ISERROR($V18),"",OFFSET('Smelter Look-up'!$D$4,$V18-4,0)&amp;"")</f>
        <v>INDONESIA</v>
      </c>
      <c r="F18" s="182" t="str">
        <f ca="1">IF(ISERROR($V18),"",OFFSET('Smelter Look-up'!$E$4,$V18-4,0))</f>
        <v>CID001463</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5"/>
      <c r="L18" s="225"/>
      <c r="M18" s="225"/>
      <c r="N18" s="225"/>
      <c r="O18" s="225"/>
      <c r="P18" s="185"/>
      <c r="Q18" s="226"/>
      <c r="R18" s="182" t="str">
        <f ca="1">IF(ISERROR($V18),"",OFFSET('Smelter Look-up'!$C$4,$V18-4,0)&amp;"")</f>
        <v>PT Sariwiguna Binasentosa</v>
      </c>
      <c r="S18" s="181" t="str">
        <f t="shared" ca="1" si="3"/>
        <v>ID</v>
      </c>
      <c r="T18" s="181" t="str">
        <f ca="1">IF(B18="","",IF(ISERROR(MATCH($J18,SorP!$B$1:$B$6279,0)),"",INDIRECT("'SorP'!$A$"&amp;MATCH($J18,SorP!$B$1:$B$6279,0))))</f>
        <v>ID-BB</v>
      </c>
      <c r="U18" s="201"/>
      <c r="V18" s="227">
        <f ca="1">IF(C18="",NA(),IF(OR(C18="Smelter not listed",C18="Smelter not yet identified"),MATCH($B18&amp;$D18,'Smelter Look-up'!$J:$J,0),MATCH($B18&amp;$C18,'Smelter Look-up'!$J:$J,0)))</f>
        <v>508</v>
      </c>
      <c r="X18" s="228">
        <f t="shared" ca="1" si="4"/>
        <v>0</v>
      </c>
      <c r="AB18" s="229" t="str">
        <f t="shared" ca="1" si="5"/>
        <v>TinPT Sariwiguna Binasentosa</v>
      </c>
    </row>
    <row r="19" spans="1:28" s="228" customFormat="1" ht="51">
      <c r="A19" s="181" t="s">
        <v>15116</v>
      </c>
      <c r="B19" s="182" t="str">
        <f ca="1">IF(LEN(A19)=0,"",INDEX('Smelter Look-up'!$A:$A,MATCH($A19,'Smelter Look-up'!$E:$E,0)))</f>
        <v>Tin</v>
      </c>
      <c r="C19" s="186" t="str">
        <f ca="1">IF(LEN(A19)=0,"",INDEX('Smelter Look-up'!$C:$C,MATCH($A19,'Smelter Look-up'!$E:$E,0)))</f>
        <v>PT Stanindo Inti Perkasa</v>
      </c>
      <c r="D19" s="233"/>
      <c r="E19" s="182" t="str">
        <f ca="1">IF(ISERROR($V19),"",OFFSET('Smelter Look-up'!$D$4,$V19-4,0)&amp;"")</f>
        <v>INDONESIA</v>
      </c>
      <c r="F19" s="182" t="str">
        <f ca="1">IF(ISERROR($V19),"",OFFSET('Smelter Look-up'!$E$4,$V19-4,0))</f>
        <v>CID001468</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5"/>
      <c r="L19" s="225"/>
      <c r="M19" s="225"/>
      <c r="N19" s="225"/>
      <c r="O19" s="225"/>
      <c r="P19" s="185"/>
      <c r="Q19" s="226"/>
      <c r="R19" s="182" t="str">
        <f ca="1">IF(ISERROR($V19),"",OFFSET('Smelter Look-up'!$C$4,$V19-4,0)&amp;"")</f>
        <v>PT Stanindo Inti Perkasa</v>
      </c>
      <c r="S19" s="181" t="str">
        <f t="shared" ca="1" si="3"/>
        <v>ID</v>
      </c>
      <c r="T19" s="181" t="str">
        <f ca="1">IF(B19="","",IF(ISERROR(MATCH($J19,SorP!$B$1:$B$6279,0)),"",INDIRECT("'SorP'!$A$"&amp;MATCH($J19,SorP!$B$1:$B$6279,0))))</f>
        <v>ID-BB</v>
      </c>
      <c r="U19" s="201"/>
      <c r="V19" s="227">
        <f ca="1">IF(C19="",NA(),IF(OR(C19="Smelter not listed",C19="Smelter not yet identified"),MATCH($B19&amp;$D19,'Smelter Look-up'!$J:$J,0),MATCH($B19&amp;$C19,'Smelter Look-up'!$J:$J,0)))</f>
        <v>509</v>
      </c>
      <c r="X19" s="228">
        <f t="shared" ca="1" si="4"/>
        <v>0</v>
      </c>
      <c r="AB19" s="229" t="str">
        <f t="shared" ca="1" si="5"/>
        <v>TinPT Stanindo Inti Perkasa</v>
      </c>
    </row>
    <row r="20" spans="1:28" s="228" customFormat="1" ht="51">
      <c r="A20" s="181" t="s">
        <v>800</v>
      </c>
      <c r="B20" s="182" t="str">
        <f ca="1">IF(LEN(A20)=0,"",INDEX('Smelter Look-up'!$A:$A,MATCH($A20,'Smelter Look-up'!$E:$E,0)))</f>
        <v>Tin</v>
      </c>
      <c r="C20" s="186" t="str">
        <f ca="1">IF(LEN(A20)=0,"",INDEX('Smelter Look-up'!$C:$C,MATCH($A20,'Smelter Look-up'!$E:$E,0)))</f>
        <v>PT Timah Tbk Kundur</v>
      </c>
      <c r="D20" s="233"/>
      <c r="E20" s="182" t="str">
        <f ca="1">IF(ISERROR($V20),"",OFFSET('Smelter Look-up'!$D$4,$V20-4,0)&amp;"")</f>
        <v>INDONESIA</v>
      </c>
      <c r="F20" s="182" t="str">
        <f ca="1">IF(ISERROR($V20),"",OFFSET('Smelter Look-up'!$E$4,$V20-4,0))</f>
        <v>CID001477</v>
      </c>
      <c r="G20" s="182" t="str">
        <f ca="1">IF(C20=$X$4,IF(ISERROR($V20),"Enter smelter details","RMI"),IF(ISERROR($V20),"",OFFSET('Smelter Look-up'!$F$4,$V20-4,0)))</f>
        <v>RMI</v>
      </c>
      <c r="H20" s="183">
        <f ca="1">IF(ISERROR($V20),"",OFFSET('Smelter Look-up'!$G$4,$V20-4,0))</f>
        <v>0</v>
      </c>
      <c r="I20" s="184" t="str">
        <f ca="1">IF(ISERROR($V20),"",OFFSET('Smelter Look-up'!$H$4,$V20-4,0))</f>
        <v>Kundur</v>
      </c>
      <c r="J20" s="184" t="str">
        <f ca="1">IF(ISERROR($V20),"",OFFSET('Smelter Look-up'!$I$4,$V20-4,0))</f>
        <v>Riau</v>
      </c>
      <c r="K20" s="225"/>
      <c r="L20" s="225"/>
      <c r="M20" s="225"/>
      <c r="N20" s="225"/>
      <c r="O20" s="225"/>
      <c r="P20" s="185"/>
      <c r="Q20" s="226"/>
      <c r="R20" s="182" t="str">
        <f ca="1">IF(ISERROR($V20),"",OFFSET('Smelter Look-up'!$C$4,$V20-4,0)&amp;"")</f>
        <v>PT Timah Tbk Kundur</v>
      </c>
      <c r="S20" s="181" t="str">
        <f t="shared" ca="1" si="3"/>
        <v>ID</v>
      </c>
      <c r="T20" s="181" t="str">
        <f ca="1">IF(B20="","",IF(ISERROR(MATCH($J20,SorP!$B$1:$B$6279,0)),"",INDIRECT("'SorP'!$A$"&amp;MATCH($J20,SorP!$B$1:$B$6279,0))))</f>
        <v>ID-RI</v>
      </c>
      <c r="U20" s="201"/>
      <c r="V20" s="227">
        <f ca="1">IF(C20="",NA(),IF(OR(C20="Smelter not listed",C20="Smelter not yet identified"),MATCH($B20&amp;$D20,'Smelter Look-up'!$J:$J,0),MATCH($B20&amp;$C20,'Smelter Look-up'!$J:$J,0)))</f>
        <v>513</v>
      </c>
      <c r="X20" s="228">
        <f t="shared" ca="1" si="4"/>
        <v>0</v>
      </c>
      <c r="AB20" s="229" t="str">
        <f t="shared" ca="1" si="5"/>
        <v>TinPT Timah Tbk Kundur</v>
      </c>
    </row>
    <row r="21" spans="1:28" s="228" customFormat="1" ht="51">
      <c r="A21" s="181" t="s">
        <v>781</v>
      </c>
      <c r="B21" s="182" t="str">
        <f ca="1">IF(LEN(A21)=0,"",INDEX('Smelter Look-up'!$A:$A,MATCH($A21,'Smelter Look-up'!$E:$E,0)))</f>
        <v>Tin</v>
      </c>
      <c r="C21" s="186" t="str">
        <f ca="1">IF(LEN(A21)=0,"",INDEX('Smelter Look-up'!$C:$C,MATCH($A21,'Smelter Look-up'!$E:$E,0)))</f>
        <v>PT Timah Tbk Mentok</v>
      </c>
      <c r="D21" s="233"/>
      <c r="E21" s="182" t="str">
        <f ca="1">IF(ISERROR($V21),"",OFFSET('Smelter Look-up'!$D$4,$V21-4,0)&amp;"")</f>
        <v>INDONESIA</v>
      </c>
      <c r="F21" s="182" t="str">
        <f ca="1">IF(ISERROR($V21),"",OFFSET('Smelter Look-up'!$E$4,$V21-4,0))</f>
        <v>CID001482</v>
      </c>
      <c r="G21" s="182" t="str">
        <f ca="1">IF(C21=$X$4,IF(ISERROR($V21),"Enter smelter details","RMI"),IF(ISERROR($V21),"",OFFSET('Smelter Look-up'!$F$4,$V21-4,0)))</f>
        <v>RMI</v>
      </c>
      <c r="H21" s="183">
        <f ca="1">IF(ISERROR($V21),"",OFFSET('Smelter Look-up'!$G$4,$V21-4,0))</f>
        <v>0</v>
      </c>
      <c r="I21" s="184" t="str">
        <f ca="1">IF(ISERROR($V21),"",OFFSET('Smelter Look-up'!$H$4,$V21-4,0))</f>
        <v>Mentok</v>
      </c>
      <c r="J21" s="184" t="str">
        <f ca="1">IF(ISERROR($V21),"",OFFSET('Smelter Look-up'!$I$4,$V21-4,0))</f>
        <v>Kepulauan Bangka Belitung</v>
      </c>
      <c r="K21" s="225"/>
      <c r="L21" s="225"/>
      <c r="M21" s="225"/>
      <c r="N21" s="225"/>
      <c r="O21" s="225"/>
      <c r="P21" s="185"/>
      <c r="Q21" s="226"/>
      <c r="R21" s="182" t="str">
        <f ca="1">IF(ISERROR($V21),"",OFFSET('Smelter Look-up'!$C$4,$V21-4,0)&amp;"")</f>
        <v>PT Timah Tbk Mentok</v>
      </c>
      <c r="S21" s="181" t="str">
        <f t="shared" ca="1" si="3"/>
        <v>ID</v>
      </c>
      <c r="T21" s="181" t="str">
        <f ca="1">IF(B21="","",IF(ISERROR(MATCH($J21,SorP!$B$1:$B$6279,0)),"",INDIRECT("'SorP'!$A$"&amp;MATCH($J21,SorP!$B$1:$B$6279,0))))</f>
        <v>ID-BB</v>
      </c>
      <c r="U21" s="201"/>
      <c r="V21" s="227">
        <f ca="1">IF(C21="",NA(),IF(OR(C21="Smelter not listed",C21="Smelter not yet identified"),MATCH($B21&amp;$D21,'Smelter Look-up'!$J:$J,0),MATCH($B21&amp;$C21,'Smelter Look-up'!$J:$J,0)))</f>
        <v>514</v>
      </c>
      <c r="X21" s="228">
        <f t="shared" ca="1" si="4"/>
        <v>0</v>
      </c>
      <c r="AB21" s="229" t="str">
        <f t="shared" ca="1" si="5"/>
        <v>TinPT Timah Tbk Mentok</v>
      </c>
    </row>
    <row r="22" spans="1:28" s="228" customFormat="1" ht="25.5">
      <c r="A22" s="181" t="s">
        <v>784</v>
      </c>
      <c r="B22" s="182" t="str">
        <f ca="1">IF(LEN(A22)=0,"",INDEX('Smelter Look-up'!$A:$A,MATCH($A22,'Smelter Look-up'!$E:$E,0)))</f>
        <v>Tin</v>
      </c>
      <c r="C22" s="186" t="str">
        <f ca="1">IF(LEN(A22)=0,"",INDEX('Smelter Look-up'!$C:$C,MATCH($A22,'Smelter Look-up'!$E:$E,0)))</f>
        <v>Thaisarco</v>
      </c>
      <c r="D22" s="233"/>
      <c r="E22" s="182" t="str">
        <f ca="1">IF(ISERROR($V22),"",OFFSET('Smelter Look-up'!$D$4,$V22-4,0)&amp;"")</f>
        <v>THAILAND</v>
      </c>
      <c r="F22" s="182" t="str">
        <f ca="1">IF(ISERROR($V22),"",OFFSET('Smelter Look-up'!$E$4,$V22-4,0))</f>
        <v>CID001898</v>
      </c>
      <c r="G22" s="182" t="str">
        <f ca="1">IF(C22=$X$4,IF(ISERROR($V22),"Enter smelter details","RMI"),IF(ISERROR($V22),"",OFFSET('Smelter Look-up'!$F$4,$V22-4,0)))</f>
        <v>RMI</v>
      </c>
      <c r="H22" s="183">
        <f ca="1">IF(ISERROR($V22),"",OFFSET('Smelter Look-up'!$G$4,$V22-4,0))</f>
        <v>0</v>
      </c>
      <c r="I22" s="184" t="str">
        <f ca="1">IF(ISERROR($V22),"",OFFSET('Smelter Look-up'!$H$4,$V22-4,0))</f>
        <v>Amphur Muang</v>
      </c>
      <c r="J22" s="184" t="str">
        <f ca="1">IF(ISERROR($V22),"",OFFSET('Smelter Look-up'!$I$4,$V22-4,0))</f>
        <v>Phuket</v>
      </c>
      <c r="K22" s="225"/>
      <c r="L22" s="225"/>
      <c r="M22" s="225"/>
      <c r="N22" s="225"/>
      <c r="O22" s="225"/>
      <c r="P22" s="185"/>
      <c r="Q22" s="226"/>
      <c r="R22" s="182" t="str">
        <f ca="1">IF(ISERROR($V22),"",OFFSET('Smelter Look-up'!$C$4,$V22-4,0)&amp;"")</f>
        <v>Thaisarco</v>
      </c>
      <c r="S22" s="181" t="str">
        <f t="shared" ca="1" si="3"/>
        <v>TH</v>
      </c>
      <c r="T22" s="181" t="str">
        <f ca="1">IF(B22="","",IF(ISERROR(MATCH($J22,SorP!$B$1:$B$6279,0)),"",INDIRECT("'SorP'!$A$"&amp;MATCH($J22,SorP!$B$1:$B$6279,0))))</f>
        <v>TH-83</v>
      </c>
      <c r="U22" s="201"/>
      <c r="V22" s="227">
        <f ca="1">IF(C22="",NA(),IF(OR(C22="Smelter not listed",C22="Smelter not yet identified"),MATCH($B22&amp;$D22,'Smelter Look-up'!$J:$J,0),MATCH($B22&amp;$C22,'Smelter Look-up'!$J:$J,0)))</f>
        <v>526</v>
      </c>
      <c r="X22" s="228">
        <f t="shared" ca="1" si="4"/>
        <v>0</v>
      </c>
      <c r="AB22" s="229" t="str">
        <f t="shared" ca="1" si="5"/>
        <v>TinThaisarco</v>
      </c>
    </row>
    <row r="23" spans="1:28" s="228" customFormat="1" ht="76.5">
      <c r="A23" s="181" t="s">
        <v>785</v>
      </c>
      <c r="B23" s="182" t="str">
        <f ca="1">IF(LEN(A23)=0,"",INDEX('Smelter Look-up'!$A:$A,MATCH($A23,'Smelter Look-up'!$E:$E,0)))</f>
        <v>Tin</v>
      </c>
      <c r="C23" s="186" t="str">
        <f ca="1">IF(LEN(A23)=0,"",INDEX('Smelter Look-up'!$C:$C,MATCH($A23,'Smelter Look-up'!$E:$E,0)))</f>
        <v>White Solder Metalurgia e Mineracao Ltda.</v>
      </c>
      <c r="D23" s="233"/>
      <c r="E23" s="182" t="str">
        <f ca="1">IF(ISERROR($V23),"",OFFSET('Smelter Look-up'!$D$4,$V23-4,0)&amp;"")</f>
        <v>BRAZIL</v>
      </c>
      <c r="F23" s="182" t="str">
        <f ca="1">IF(ISERROR($V23),"",OFFSET('Smelter Look-up'!$E$4,$V23-4,0))</f>
        <v>CID002036</v>
      </c>
      <c r="G23" s="182" t="str">
        <f ca="1">IF(C23=$X$4,IF(ISERROR($V23),"Enter smelter details","RMI"),IF(ISERROR($V23),"",OFFSET('Smelter Look-up'!$F$4,$V23-4,0)))</f>
        <v>RMI</v>
      </c>
      <c r="H23" s="183">
        <f ca="1">IF(ISERROR($V23),"",OFFSET('Smelter Look-up'!$G$4,$V23-4,0))</f>
        <v>0</v>
      </c>
      <c r="I23" s="184" t="str">
        <f ca="1">IF(ISERROR($V23),"",OFFSET('Smelter Look-up'!$H$4,$V23-4,0))</f>
        <v>Ariquemes</v>
      </c>
      <c r="J23" s="184" t="str">
        <f ca="1">IF(ISERROR($V23),"",OFFSET('Smelter Look-up'!$I$4,$V23-4,0))</f>
        <v>Rondônia</v>
      </c>
      <c r="K23" s="225"/>
      <c r="L23" s="225"/>
      <c r="M23" s="225"/>
      <c r="N23" s="225"/>
      <c r="O23" s="225"/>
      <c r="P23" s="185"/>
      <c r="Q23" s="226"/>
      <c r="R23" s="182" t="str">
        <f ca="1">IF(ISERROR($V23),"",OFFSET('Smelter Look-up'!$C$4,$V23-4,0)&amp;"")</f>
        <v>White Solder Metalurgia e Mineracao Ltda.</v>
      </c>
      <c r="S23" s="181" t="str">
        <f t="shared" ca="1" si="3"/>
        <v>BR</v>
      </c>
      <c r="T23" s="181" t="str">
        <f ca="1">IF(B23="","",IF(ISERROR(MATCH($J23,SorP!$B$1:$B$6279,0)),"",INDIRECT("'SorP'!$A$"&amp;MATCH($J23,SorP!$B$1:$B$6279,0))))</f>
        <v>BR-RO</v>
      </c>
      <c r="U23" s="201"/>
      <c r="V23" s="227">
        <f ca="1">IF(C23="",NA(),IF(OR(C23="Smelter not listed",C23="Smelter not yet identified"),MATCH($B23&amp;$D23,'Smelter Look-up'!$J:$J,0),MATCH($B23&amp;$C23,'Smelter Look-up'!$J:$J,0)))</f>
        <v>535</v>
      </c>
      <c r="X23" s="228">
        <f t="shared" ca="1" si="4"/>
        <v>0</v>
      </c>
      <c r="AB23" s="229" t="str">
        <f t="shared" ca="1" si="5"/>
        <v>TinWhite Solder Metalurgia e Mineracao Ltda.</v>
      </c>
    </row>
    <row r="24" spans="1:28" s="228" customFormat="1" ht="63.75">
      <c r="A24" s="181" t="s">
        <v>1399</v>
      </c>
      <c r="B24" s="182" t="str">
        <f ca="1">IF(LEN(A24)=0,"",INDEX('Smelter Look-up'!$A:$A,MATCH($A24,'Smelter Look-up'!$E:$E,0)))</f>
        <v>Tin</v>
      </c>
      <c r="C24" s="186" t="str">
        <f ca="1">IF(LEN(A24)=0,"",INDEX('Smelter Look-up'!$C:$C,MATCH($A24,'Smelter Look-up'!$E:$E,0)))</f>
        <v>PT ATD Makmur Mandiri Jaya</v>
      </c>
      <c r="D24" s="233"/>
      <c r="E24" s="182" t="str">
        <f ca="1">IF(ISERROR($V24),"",OFFSET('Smelter Look-up'!$D$4,$V24-4,0)&amp;"")</f>
        <v>INDONESIA</v>
      </c>
      <c r="F24" s="182" t="str">
        <f ca="1">IF(ISERROR($V24),"",OFFSET('Smelter Look-up'!$E$4,$V24-4,0))</f>
        <v>CID002503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5"/>
      <c r="L24" s="225"/>
      <c r="M24" s="225"/>
      <c r="N24" s="225"/>
      <c r="O24" s="225"/>
      <c r="P24" s="185"/>
      <c r="Q24" s="226"/>
      <c r="R24" s="182" t="str">
        <f ca="1">IF(ISERROR($V24),"",OFFSET('Smelter Look-up'!$C$4,$V24-4,0)&amp;"")</f>
        <v>PT ATD Makmur Mandiri Jaya</v>
      </c>
      <c r="S24" s="181" t="str">
        <f t="shared" ca="1" si="3"/>
        <v>ID</v>
      </c>
      <c r="T24" s="181" t="str">
        <f ca="1">IF(B24="","",IF(ISERROR(MATCH($J24,SorP!$B$1:$B$6279,0)),"",INDIRECT("'SorP'!$A$"&amp;MATCH($J24,SorP!$B$1:$B$6279,0))))</f>
        <v>ID-BB</v>
      </c>
      <c r="U24" s="201"/>
      <c r="V24" s="227">
        <f ca="1">IF(C24="",NA(),IF(OR(C24="Smelter not listed",C24="Smelter not yet identified"),MATCH($B24&amp;$D24,'Smelter Look-up'!$J:$J,0),MATCH($B24&amp;$C24,'Smelter Look-up'!$J:$J,0)))</f>
        <v>488</v>
      </c>
      <c r="X24" s="228">
        <f t="shared" ca="1" si="4"/>
        <v>0</v>
      </c>
      <c r="AB24" s="229" t="str">
        <f t="shared" ca="1" si="5"/>
        <v>TinPT ATD Makmur Mandiri Jaya</v>
      </c>
    </row>
    <row r="25" spans="1:28" s="228" customFormat="1" ht="38.25">
      <c r="A25" s="181" t="s">
        <v>1815</v>
      </c>
      <c r="B25" s="182" t="str">
        <f ca="1">IF(LEN(A25)=0,"",INDEX('Smelter Look-up'!$A:$A,MATCH($A25,'Smelter Look-up'!$E:$E,0)))</f>
        <v>Tin</v>
      </c>
      <c r="C25" s="186" t="str">
        <f ca="1">IF(LEN(A25)=0,"",INDEX('Smelter Look-up'!$C:$C,MATCH($A25,'Smelter Look-up'!$E:$E,0)))</f>
        <v>Aurubis Beerse</v>
      </c>
      <c r="D25" s="233"/>
      <c r="E25" s="182" t="str">
        <f ca="1">IF(ISERROR($V25),"",OFFSET('Smelter Look-up'!$D$4,$V25-4,0)&amp;"")</f>
        <v>BELGIUM</v>
      </c>
      <c r="F25" s="182" t="str">
        <f ca="1">IF(ISERROR($V25),"",OFFSET('Smelter Look-up'!$E$4,$V25-4,0))</f>
        <v>CID002773</v>
      </c>
      <c r="G25" s="182" t="str">
        <f ca="1">IF(C25=$X$4,IF(ISERROR($V25),"Enter smelter details","RMI"),IF(ISERROR($V25),"",OFFSET('Smelter Look-up'!$F$4,$V25-4,0)))</f>
        <v>RMI</v>
      </c>
      <c r="H25" s="183">
        <f ca="1">IF(ISERROR($V25),"",OFFSET('Smelter Look-up'!$G$4,$V25-4,0))</f>
        <v>0</v>
      </c>
      <c r="I25" s="184" t="str">
        <f ca="1">IF(ISERROR($V25),"",OFFSET('Smelter Look-up'!$H$4,$V25-4,0))</f>
        <v>Beerse</v>
      </c>
      <c r="J25" s="184" t="str">
        <f ca="1">IF(ISERROR($V25),"",OFFSET('Smelter Look-up'!$I$4,$V25-4,0))</f>
        <v>Antwerpen</v>
      </c>
      <c r="K25" s="225"/>
      <c r="L25" s="225"/>
      <c r="M25" s="225"/>
      <c r="N25" s="225"/>
      <c r="O25" s="225"/>
      <c r="P25" s="185"/>
      <c r="Q25" s="226"/>
      <c r="R25" s="182" t="str">
        <f ca="1">IF(ISERROR($V25),"",OFFSET('Smelter Look-up'!$C$4,$V25-4,0)&amp;"")</f>
        <v>Aurubis Beerse</v>
      </c>
      <c r="S25" s="181" t="str">
        <f t="shared" ca="1" si="3"/>
        <v>BE</v>
      </c>
      <c r="T25" s="181" t="str">
        <f ca="1">IF(B25="","",IF(ISERROR(MATCH($J25,SorP!$B$1:$B$6279,0)),"",INDIRECT("'SorP'!$A$"&amp;MATCH($J25,SorP!$B$1:$B$6279,0))))</f>
        <v>BE-VAN</v>
      </c>
      <c r="U25" s="201"/>
      <c r="V25" s="227">
        <f ca="1">IF(C25="",NA(),IF(OR(C25="Smelter not listed",C25="Smelter not yet identified"),MATCH($B25&amp;$D25,'Smelter Look-up'!$J:$J,0),MATCH($B25&amp;$C25,'Smelter Look-up'!$J:$J,0)))</f>
        <v>394</v>
      </c>
      <c r="X25" s="228">
        <f t="shared" ca="1" si="4"/>
        <v>0</v>
      </c>
      <c r="AB25" s="229" t="str">
        <f t="shared" ca="1" si="5"/>
        <v>TinAurubis Beerse</v>
      </c>
    </row>
    <row r="26" spans="1:28" s="228" customFormat="1" ht="51">
      <c r="A26" s="181" t="s">
        <v>15495</v>
      </c>
      <c r="B26" s="182" t="str">
        <f ca="1">IF(LEN(A26)=0,"",INDEX('Smelter Look-up'!$A:$A,MATCH($A26,'Smelter Look-up'!$E:$E,0)))</f>
        <v>Tin</v>
      </c>
      <c r="C26" s="186" t="str">
        <f ca="1">IF(LEN(A26)=0,"",INDEX('Smelter Look-up'!$C:$C,MATCH($A26,'Smelter Look-up'!$E:$E,0)))</f>
        <v>PT Sukses Inti Makmur</v>
      </c>
      <c r="D26" s="233"/>
      <c r="E26" s="182" t="str">
        <f ca="1">IF(ISERROR($V26),"",OFFSET('Smelter Look-up'!$D$4,$V26-4,0)&amp;"")</f>
        <v>INDONESIA</v>
      </c>
      <c r="F26" s="182" t="str">
        <f ca="1">IF(ISERROR($V26),"",OFFSET('Smelter Look-up'!$E$4,$V26-4,0))</f>
        <v>CID002816</v>
      </c>
      <c r="G26" s="182" t="str">
        <f ca="1">IF(C26=$X$4,IF(ISERROR($V26),"Enter smelter details","RMI"),IF(ISERROR($V26),"",OFFSET('Smelter Look-up'!$F$4,$V26-4,0)))</f>
        <v>RMI</v>
      </c>
      <c r="H26" s="183">
        <f ca="1">IF(ISERROR($V26),"",OFFSET('Smelter Look-up'!$G$4,$V26-4,0))</f>
        <v>0</v>
      </c>
      <c r="I26" s="184" t="str">
        <f ca="1">IF(ISERROR($V26),"",OFFSET('Smelter Look-up'!$H$4,$V26-4,0))</f>
        <v>Belitung</v>
      </c>
      <c r="J26" s="184" t="str">
        <f ca="1">IF(ISERROR($V26),"",OFFSET('Smelter Look-up'!$I$4,$V26-4,0))</f>
        <v>Kepulauan Bangka Belitung</v>
      </c>
      <c r="K26" s="225"/>
      <c r="L26" s="225"/>
      <c r="M26" s="225"/>
      <c r="N26" s="225"/>
      <c r="O26" s="225"/>
      <c r="P26" s="185"/>
      <c r="Q26" s="226"/>
      <c r="R26" s="182" t="str">
        <f ca="1">IF(ISERROR($V26),"",OFFSET('Smelter Look-up'!$C$4,$V26-4,0)&amp;"")</f>
        <v>PT Sukses Inti Makmur</v>
      </c>
      <c r="S26" s="181" t="str">
        <f t="shared" ca="1" si="3"/>
        <v>ID</v>
      </c>
      <c r="T26" s="181" t="str">
        <f ca="1">IF(B26="","",IF(ISERROR(MATCH($J26,SorP!$B$1:$B$6279,0)),"",INDIRECT("'SorP'!$A$"&amp;MATCH($J26,SorP!$B$1:$B$6279,0))))</f>
        <v>ID-BB</v>
      </c>
      <c r="U26" s="201"/>
      <c r="V26" s="227">
        <f ca="1">IF(C26="",NA(),IF(OR(C26="Smelter not listed",C26="Smelter not yet identified"),MATCH($B26&amp;$D26,'Smelter Look-up'!$J:$J,0),MATCH($B26&amp;$C26,'Smelter Look-up'!$J:$J,0)))</f>
        <v>510</v>
      </c>
      <c r="X26" s="228">
        <f t="shared" ca="1" si="4"/>
        <v>0</v>
      </c>
      <c r="AB26" s="229" t="str">
        <f t="shared" ca="1" si="5"/>
        <v>TinPT Sukses Inti Makmur</v>
      </c>
    </row>
    <row r="27" spans="1:28" s="228" customFormat="1" ht="51">
      <c r="A27" s="181" t="s">
        <v>15110</v>
      </c>
      <c r="B27" s="182" t="str">
        <f ca="1">IF(LEN(A27)=0,"",INDEX('Smelter Look-up'!$A:$A,MATCH($A27,'Smelter Look-up'!$E:$E,0)))</f>
        <v>Tin</v>
      </c>
      <c r="C27" s="186" t="str">
        <f ca="1">IF(LEN(A27)=0,"",INDEX('Smelter Look-up'!$C:$C,MATCH($A27,'Smelter Look-up'!$E:$E,0)))</f>
        <v>PT Menara Cipta Mulia</v>
      </c>
      <c r="D27" s="233"/>
      <c r="E27" s="182" t="str">
        <f ca="1">IF(ISERROR($V27),"",OFFSET('Smelter Look-up'!$D$4,$V27-4,0)&amp;"")</f>
        <v>INDONESIA</v>
      </c>
      <c r="F27" s="182" t="str">
        <f ca="1">IF(ISERROR($V27),"",OFFSET('Smelter Look-up'!$E$4,$V27-4,0))</f>
        <v>CID002835</v>
      </c>
      <c r="G27" s="182" t="str">
        <f ca="1">IF(C27=$X$4,IF(ISERROR($V27),"Enter smelter details","RMI"),IF(ISERROR($V27),"",OFFSET('Smelter Look-up'!$F$4,$V27-4,0)))</f>
        <v>RMI</v>
      </c>
      <c r="H27" s="183">
        <f ca="1">IF(ISERROR($V27),"",OFFSET('Smelter Look-up'!$G$4,$V27-4,0))</f>
        <v>0</v>
      </c>
      <c r="I27" s="184" t="str">
        <f ca="1">IF(ISERROR($V27),"",OFFSET('Smelter Look-up'!$H$4,$V27-4,0))</f>
        <v>Mentawak</v>
      </c>
      <c r="J27" s="184" t="str">
        <f ca="1">IF(ISERROR($V27),"",OFFSET('Smelter Look-up'!$I$4,$V27-4,0))</f>
        <v>Kepulauan Bangka Belitung</v>
      </c>
      <c r="K27" s="225"/>
      <c r="L27" s="225"/>
      <c r="M27" s="225"/>
      <c r="N27" s="225"/>
      <c r="O27" s="225"/>
      <c r="P27" s="185"/>
      <c r="Q27" s="226"/>
      <c r="R27" s="182" t="str">
        <f ca="1">IF(ISERROR($V27),"",OFFSET('Smelter Look-up'!$C$4,$V27-4,0)&amp;"")</f>
        <v>PT Menara Cipta Mulia</v>
      </c>
      <c r="S27" s="181" t="str">
        <f t="shared" ca="1" si="3"/>
        <v>ID</v>
      </c>
      <c r="T27" s="181" t="str">
        <f ca="1">IF(B27="","",IF(ISERROR(MATCH($J27,SorP!$B$1:$B$6279,0)),"",INDIRECT("'SorP'!$A$"&amp;MATCH($J27,SorP!$B$1:$B$6279,0))))</f>
        <v>ID-BB</v>
      </c>
      <c r="U27" s="201"/>
      <c r="V27" s="227">
        <f ca="1">IF(C27="",NA(),IF(OR(C27="Smelter not listed",C27="Smelter not yet identified"),MATCH($B27&amp;$D27,'Smelter Look-up'!$J:$J,0),MATCH($B27&amp;$C27,'Smelter Look-up'!$J:$J,0)))</f>
        <v>499</v>
      </c>
      <c r="X27" s="228">
        <f t="shared" ca="1" si="4"/>
        <v>0</v>
      </c>
      <c r="AB27" s="229" t="str">
        <f t="shared" ca="1" si="5"/>
        <v>TinPT Menara Cipta Mulia</v>
      </c>
    </row>
    <row r="28" spans="1:28" s="228" customFormat="1" ht="51">
      <c r="A28" s="181" t="s">
        <v>14029</v>
      </c>
      <c r="B28" s="182" t="str">
        <f ca="1">IF(LEN(A28)=0,"",INDEX('Smelter Look-up'!$A:$A,MATCH($A28,'Smelter Look-up'!$E:$E,0)))</f>
        <v>Tin</v>
      </c>
      <c r="C28" s="186" t="str">
        <f ca="1">IF(LEN(A28)=0,"",INDEX('Smelter Look-up'!$C:$C,MATCH($A28,'Smelter Look-up'!$E:$E,0)))</f>
        <v>PT Bangka Serumpun</v>
      </c>
      <c r="D28" s="233"/>
      <c r="E28" s="182" t="str">
        <f ca="1">IF(ISERROR($V28),"",OFFSET('Smelter Look-up'!$D$4,$V28-4,0)&amp;"")</f>
        <v>INDONESIA</v>
      </c>
      <c r="F28" s="182" t="str">
        <f ca="1">IF(ISERROR($V28),"",OFFSET('Smelter Look-up'!$E$4,$V28-4,0))</f>
        <v>CID003205</v>
      </c>
      <c r="G28" s="182" t="str">
        <f ca="1">IF(C28=$X$4,IF(ISERROR($V28),"Enter smelter details","RMI"),IF(ISERROR($V28),"",OFFSET('Smelter Look-up'!$F$4,$V28-4,0)))</f>
        <v>RMI</v>
      </c>
      <c r="H28" s="183">
        <f ca="1">IF(ISERROR($V28),"",OFFSET('Smelter Look-up'!$G$4,$V28-4,0))</f>
        <v>0</v>
      </c>
      <c r="I28" s="184" t="str">
        <f ca="1">IF(ISERROR($V28),"",OFFSET('Smelter Look-up'!$H$4,$V28-4,0))</f>
        <v>Pangkalpinang</v>
      </c>
      <c r="J28" s="184" t="str">
        <f ca="1">IF(ISERROR($V28),"",OFFSET('Smelter Look-up'!$I$4,$V28-4,0))</f>
        <v>Kepulauan Bangka Belitung</v>
      </c>
      <c r="K28" s="225"/>
      <c r="L28" s="225"/>
      <c r="M28" s="225"/>
      <c r="N28" s="225"/>
      <c r="O28" s="225"/>
      <c r="P28" s="185"/>
      <c r="Q28" s="226"/>
      <c r="R28" s="182" t="str">
        <f ca="1">IF(ISERROR($V28),"",OFFSET('Smelter Look-up'!$C$4,$V28-4,0)&amp;"")</f>
        <v>PT Bangka Serumpun</v>
      </c>
      <c r="S28" s="181" t="str">
        <f t="shared" ca="1" si="3"/>
        <v>ID</v>
      </c>
      <c r="T28" s="181" t="str">
        <f ca="1">IF(B28="","",IF(ISERROR(MATCH($J28,SorP!$B$1:$B$6279,0)),"",INDIRECT("'SorP'!$A$"&amp;MATCH($J28,SorP!$B$1:$B$6279,0))))</f>
        <v>ID-BB</v>
      </c>
      <c r="U28" s="201"/>
      <c r="V28" s="227">
        <f ca="1">IF(C28="",NA(),IF(OR(C28="Smelter not listed",C28="Smelter not yet identified"),MATCH($B28&amp;$D28,'Smelter Look-up'!$J:$J,0),MATCH($B28&amp;$C28,'Smelter Look-up'!$J:$J,0)))</f>
        <v>492</v>
      </c>
      <c r="X28" s="228">
        <f t="shared" ca="1" si="4"/>
        <v>0</v>
      </c>
      <c r="AB28" s="229" t="str">
        <f t="shared" ca="1" si="5"/>
        <v>TinPT Bangka Serumpun</v>
      </c>
    </row>
    <row r="29" spans="1:28" s="228" customFormat="1" ht="51">
      <c r="A29" s="181" t="s">
        <v>15114</v>
      </c>
      <c r="B29" s="182" t="str">
        <f ca="1">IF(LEN(A29)=0,"",INDEX('Smelter Look-up'!$A:$A,MATCH($A29,'Smelter Look-up'!$E:$E,0)))</f>
        <v>Tin</v>
      </c>
      <c r="C29" s="186" t="str">
        <f ca="1">IF(LEN(A29)=0,"",INDEX('Smelter Look-up'!$C:$C,MATCH($A29,'Smelter Look-up'!$E:$E,0)))</f>
        <v>PT Rajawali Rimba Perkasa</v>
      </c>
      <c r="D29" s="233"/>
      <c r="E29" s="182" t="str">
        <f ca="1">IF(ISERROR($V29),"",OFFSET('Smelter Look-up'!$D$4,$V29-4,0)&amp;"")</f>
        <v>INDONESIA</v>
      </c>
      <c r="F29" s="182" t="str">
        <f ca="1">IF(ISERROR($V29),"",OFFSET('Smelter Look-up'!$E$4,$V29-4,0))</f>
        <v>CID003381</v>
      </c>
      <c r="G29" s="182" t="str">
        <f ca="1">IF(C29=$X$4,IF(ISERROR($V29),"Enter smelter details","RMI"),IF(ISERROR($V29),"",OFFSET('Smelter Look-up'!$F$4,$V29-4,0)))</f>
        <v>RMI</v>
      </c>
      <c r="H29" s="183">
        <f ca="1">IF(ISERROR($V29),"",OFFSET('Smelter Look-up'!$G$4,$V29-4,0))</f>
        <v>0</v>
      </c>
      <c r="I29" s="184" t="str">
        <f ca="1">IF(ISERROR($V29),"",OFFSET('Smelter Look-up'!$H$4,$V29-4,0))</f>
        <v>Tukak Sadai</v>
      </c>
      <c r="J29" s="184" t="str">
        <f ca="1">IF(ISERROR($V29),"",OFFSET('Smelter Look-up'!$I$4,$V29-4,0))</f>
        <v>Kepulauan Bangka Belitung</v>
      </c>
      <c r="K29" s="225"/>
      <c r="L29" s="225"/>
      <c r="M29" s="225"/>
      <c r="N29" s="225"/>
      <c r="O29" s="225"/>
      <c r="P29" s="185"/>
      <c r="Q29" s="226"/>
      <c r="R29" s="182" t="str">
        <f ca="1">IF(ISERROR($V29),"",OFFSET('Smelter Look-up'!$C$4,$V29-4,0)&amp;"")</f>
        <v>PT Rajawali Rimba Perkasa</v>
      </c>
      <c r="S29" s="181" t="str">
        <f t="shared" ca="1" si="3"/>
        <v>ID</v>
      </c>
      <c r="T29" s="181" t="str">
        <f ca="1">IF(B29="","",IF(ISERROR(MATCH($J29,SorP!$B$1:$B$6279,0)),"",INDIRECT("'SorP'!$A$"&amp;MATCH($J29,SorP!$B$1:$B$6279,0))))</f>
        <v>ID-BB</v>
      </c>
      <c r="U29" s="201"/>
      <c r="V29" s="227">
        <f ca="1">IF(C29="",NA(),IF(OR(C29="Smelter not listed",C29="Smelter not yet identified"),MATCH($B29&amp;$D29,'Smelter Look-up'!$J:$J,0),MATCH($B29&amp;$C29,'Smelter Look-up'!$J:$J,0)))</f>
        <v>506</v>
      </c>
      <c r="X29" s="228">
        <f t="shared" ca="1" si="4"/>
        <v>0</v>
      </c>
      <c r="AB29" s="229" t="str">
        <f t="shared" ca="1" si="5"/>
        <v>TinPT Rajawali Rimba Perkasa</v>
      </c>
    </row>
    <row r="30" spans="1:28" s="228" customFormat="1" ht="38.25">
      <c r="A30" s="181" t="s">
        <v>13867</v>
      </c>
      <c r="B30" s="182" t="str">
        <f ca="1">IF(LEN(A30)=0,"",INDEX('Smelter Look-up'!$A:$A,MATCH($A30,'Smelter Look-up'!$E:$E,0)))</f>
        <v>Tin</v>
      </c>
      <c r="C30" s="186" t="str">
        <f ca="1">IF(LEN(A30)=0,"",INDEX('Smelter Look-up'!$C:$C,MATCH($A30,'Smelter Look-up'!$E:$E,0)))</f>
        <v>Luna Smelter, Ltd.</v>
      </c>
      <c r="D30" s="233"/>
      <c r="E30" s="182" t="str">
        <f ca="1">IF(ISERROR($V30),"",OFFSET('Smelter Look-up'!$D$4,$V30-4,0)&amp;"")</f>
        <v>RWANDA</v>
      </c>
      <c r="F30" s="182" t="str">
        <f ca="1">IF(ISERROR($V30),"",OFFSET('Smelter Look-up'!$E$4,$V30-4,0))</f>
        <v>CID003387</v>
      </c>
      <c r="G30" s="182" t="str">
        <f ca="1">IF(C30=$X$4,IF(ISERROR($V30),"Enter smelter details","RMI"),IF(ISERROR($V30),"",OFFSET('Smelter Look-up'!$F$4,$V30-4,0)))</f>
        <v>RMI</v>
      </c>
      <c r="H30" s="183">
        <f ca="1">IF(ISERROR($V30),"",OFFSET('Smelter Look-up'!$G$4,$V30-4,0))</f>
        <v>0</v>
      </c>
      <c r="I30" s="184" t="str">
        <f ca="1">IF(ISERROR($V30),"",OFFSET('Smelter Look-up'!$H$4,$V30-4,0))</f>
        <v>Kigali</v>
      </c>
      <c r="J30" s="184" t="str">
        <f ca="1">IF(ISERROR($V30),"",OFFSET('Smelter Look-up'!$I$4,$V30-4,0))</f>
        <v>City of Kigali</v>
      </c>
      <c r="K30" s="225"/>
      <c r="L30" s="225"/>
      <c r="M30" s="225"/>
      <c r="N30" s="225"/>
      <c r="O30" s="225"/>
      <c r="P30" s="185"/>
      <c r="Q30" s="226"/>
      <c r="R30" s="182" t="str">
        <f ca="1">IF(ISERROR($V30),"",OFFSET('Smelter Look-up'!$C$4,$V30-4,0)&amp;"")</f>
        <v>Luna Smelter, Ltd.</v>
      </c>
      <c r="S30" s="181" t="str">
        <f t="shared" ca="1" si="3"/>
        <v>RW</v>
      </c>
      <c r="T30" s="181" t="str">
        <f ca="1">IF(B30="","",IF(ISERROR(MATCH($J30,SorP!$B$1:$B$6279,0)),"",INDIRECT("'SorP'!$A$"&amp;MATCH($J30,SorP!$B$1:$B$6279,0))))</f>
        <v>RW-01</v>
      </c>
      <c r="U30" s="201"/>
      <c r="V30" s="227">
        <f ca="1">IF(C30="",NA(),IF(OR(C30="Smelter not listed",C30="Smelter not yet identified"),MATCH($B30&amp;$D30,'Smelter Look-up'!$J:$J,0),MATCH($B30&amp;$C30,'Smelter Look-up'!$J:$J,0)))</f>
        <v>456</v>
      </c>
      <c r="X30" s="228">
        <f t="shared" ca="1" si="4"/>
        <v>0</v>
      </c>
      <c r="AB30" s="229" t="str">
        <f t="shared" ca="1" si="5"/>
        <v>TinLuna Smelter, Ltd.</v>
      </c>
    </row>
    <row r="31" spans="1:28" s="228" customFormat="1" ht="63.75">
      <c r="A31" s="181" t="s">
        <v>13868</v>
      </c>
      <c r="B31" s="182" t="str">
        <f ca="1">IF(LEN(A31)=0,"",INDEX('Smelter Look-up'!$A:$A,MATCH($A31,'Smelter Look-up'!$E:$E,0)))</f>
        <v>Tin</v>
      </c>
      <c r="C31" s="186" t="str">
        <f ca="1">IF(LEN(A31)=0,"",INDEX('Smelter Look-up'!$C:$C,MATCH($A31,'Smelter Look-up'!$E:$E,0)))</f>
        <v>PT Mitra Sukses Globalindo</v>
      </c>
      <c r="D31" s="233"/>
      <c r="E31" s="182" t="str">
        <f ca="1">IF(ISERROR($V31),"",OFFSET('Smelter Look-up'!$D$4,$V31-4,0)&amp;"")</f>
        <v>INDONESIA</v>
      </c>
      <c r="F31" s="182" t="str">
        <f ca="1">IF(ISERROR($V31),"",OFFSET('Smelter Look-up'!$E$4,$V31-4,0))</f>
        <v>CID003449</v>
      </c>
      <c r="G31" s="182" t="str">
        <f ca="1">IF(C31=$X$4,IF(ISERROR($V31),"Enter smelter details","RMI"),IF(ISERROR($V31),"",OFFSET('Smelter Look-up'!$F$4,$V31-4,0)))</f>
        <v>RMI</v>
      </c>
      <c r="H31" s="183">
        <f ca="1">IF(ISERROR($V31),"",OFFSET('Smelter Look-up'!$G$4,$V31-4,0))</f>
        <v>0</v>
      </c>
      <c r="I31" s="184" t="str">
        <f ca="1">IF(ISERROR($V31),"",OFFSET('Smelter Look-up'!$H$4,$V31-4,0))</f>
        <v>Pangkalpinang</v>
      </c>
      <c r="J31" s="184" t="str">
        <f ca="1">IF(ISERROR($V31),"",OFFSET('Smelter Look-up'!$I$4,$V31-4,0))</f>
        <v>Kepulauan Bangka Belitung</v>
      </c>
      <c r="K31" s="225"/>
      <c r="L31" s="225"/>
      <c r="M31" s="225"/>
      <c r="N31" s="225"/>
      <c r="O31" s="225"/>
      <c r="P31" s="185"/>
      <c r="Q31" s="226"/>
      <c r="R31" s="182" t="str">
        <f ca="1">IF(ISERROR($V31),"",OFFSET('Smelter Look-up'!$C$4,$V31-4,0)&amp;"")</f>
        <v>PT Mitra Sukses Globalindo</v>
      </c>
      <c r="S31" s="181" t="str">
        <f t="shared" ca="1" si="3"/>
        <v>ID</v>
      </c>
      <c r="T31" s="181" t="str">
        <f ca="1">IF(B31="","",IF(ISERROR(MATCH($J31,SorP!$B$1:$B$6279,0)),"",INDIRECT("'SorP'!$A$"&amp;MATCH($J31,SorP!$B$1:$B$6279,0))))</f>
        <v>ID-BB</v>
      </c>
      <c r="U31" s="201"/>
      <c r="V31" s="227">
        <f ca="1">IF(C31="",NA(),IF(OR(C31="Smelter not listed",C31="Smelter not yet identified"),MATCH($B31&amp;$D31,'Smelter Look-up'!$J:$J,0),MATCH($B31&amp;$C31,'Smelter Look-up'!$J:$J,0)))</f>
        <v>501</v>
      </c>
      <c r="X31" s="228">
        <f t="shared" ca="1" si="4"/>
        <v>0</v>
      </c>
      <c r="AB31" s="229" t="str">
        <f t="shared" ca="1" si="5"/>
        <v>TinPT Mitra Sukses Globalindo</v>
      </c>
    </row>
    <row r="32" spans="1:28" s="228" customFormat="1" ht="25.5">
      <c r="A32" s="181" t="s">
        <v>651</v>
      </c>
      <c r="B32" s="182" t="str">
        <f ca="1">IF(LEN(A32)=0,"",INDEX('Smelter Look-up'!$A:$A,MATCH($A32,'Smelter Look-up'!$E:$E,0)))</f>
        <v>Gold</v>
      </c>
      <c r="C32" s="186" t="str">
        <f ca="1">IF(LEN(A32)=0,"",INDEX('Smelter Look-up'!$C:$C,MATCH($A32,'Smelter Look-up'!$E:$E,0)))</f>
        <v>Agosi AG</v>
      </c>
      <c r="D32" s="233"/>
      <c r="E32" s="182" t="str">
        <f ca="1">IF(ISERROR($V32),"",OFFSET('Smelter Look-up'!$D$4,$V32-4,0)&amp;"")</f>
        <v>GERMANY</v>
      </c>
      <c r="F32" s="182" t="str">
        <f ca="1">IF(ISERROR($V32),"",OFFSET('Smelter Look-up'!$E$4,$V32-4,0))</f>
        <v>CID000035</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5"/>
      <c r="L32" s="225"/>
      <c r="M32" s="225"/>
      <c r="N32" s="225"/>
      <c r="O32" s="225"/>
      <c r="P32" s="185"/>
      <c r="Q32" s="226"/>
      <c r="R32" s="182" t="str">
        <f ca="1">IF(ISERROR($V32),"",OFFSET('Smelter Look-up'!$C$4,$V32-4,0)&amp;"")</f>
        <v>Agosi AG</v>
      </c>
      <c r="S32" s="181" t="str">
        <f t="shared" ca="1" si="3"/>
        <v>DE</v>
      </c>
      <c r="T32" s="181" t="str">
        <f ca="1">IF(B32="","",IF(ISERROR(MATCH($J32,SorP!$B$1:$B$6279,0)),"",INDIRECT("'SorP'!$A$"&amp;MATCH($J32,SorP!$B$1:$B$6279,0))))</f>
        <v>DE-BW</v>
      </c>
      <c r="U32" s="201"/>
      <c r="V32" s="227">
        <f ca="1">IF(C32="",NA(),IF(OR(C32="Smelter not listed",C32="Smelter not yet identified"),MATCH($B32&amp;$D32,'Smelter Look-up'!$J:$J,0),MATCH($B32&amp;$C32,'Smelter Look-up'!$J:$J,0)))</f>
        <v>10</v>
      </c>
      <c r="X32" s="228">
        <f t="shared" ca="1" si="4"/>
        <v>0</v>
      </c>
      <c r="AB32" s="229" t="str">
        <f t="shared" ca="1" si="5"/>
        <v>GoldAgosi AG</v>
      </c>
    </row>
    <row r="33" spans="1:28" s="228" customFormat="1" ht="51">
      <c r="A33" s="181" t="s">
        <v>654</v>
      </c>
      <c r="B33" s="182" t="str">
        <f ca="1">IF(LEN(A33)=0,"",INDEX('Smelter Look-up'!$A:$A,MATCH($A33,'Smelter Look-up'!$E:$E,0)))</f>
        <v>Gold</v>
      </c>
      <c r="C33" s="186" t="str">
        <f ca="1">IF(LEN(A33)=0,"",INDEX('Smelter Look-up'!$C:$C,MATCH($A33,'Smelter Look-up'!$E:$E,0)))</f>
        <v>Argor-Heraeus S.A.</v>
      </c>
      <c r="D33" s="233"/>
      <c r="E33" s="182" t="str">
        <f ca="1">IF(ISERROR($V33),"",OFFSET('Smelter Look-up'!$D$4,$V33-4,0)&amp;"")</f>
        <v>SWITZERLAND</v>
      </c>
      <c r="F33" s="182" t="str">
        <f ca="1">IF(ISERROR($V33),"",OFFSET('Smelter Look-up'!$E$4,$V33-4,0))</f>
        <v>CID000077</v>
      </c>
      <c r="G33" s="182" t="str">
        <f ca="1">IF(C33=$X$4,IF(ISERROR($V33),"Enter smelter details","RMI"),IF(ISERROR($V33),"",OFFSET('Smelter Look-up'!$F$4,$V33-4,0)))</f>
        <v>RMI</v>
      </c>
      <c r="H33" s="183">
        <f ca="1">IF(ISERROR($V33),"",OFFSET('Smelter Look-up'!$G$4,$V33-4,0))</f>
        <v>0</v>
      </c>
      <c r="I33" s="184" t="str">
        <f ca="1">IF(ISERROR($V33),"",OFFSET('Smelter Look-up'!$H$4,$V33-4,0))</f>
        <v>Mendrisio</v>
      </c>
      <c r="J33" s="184" t="str">
        <f ca="1">IF(ISERROR($V33),"",OFFSET('Smelter Look-up'!$I$4,$V33-4,0))</f>
        <v>Ticino</v>
      </c>
      <c r="K33" s="225"/>
      <c r="L33" s="225"/>
      <c r="M33" s="225"/>
      <c r="N33" s="225"/>
      <c r="O33" s="225"/>
      <c r="P33" s="185"/>
      <c r="Q33" s="226"/>
      <c r="R33" s="182" t="str">
        <f ca="1">IF(ISERROR($V33),"",OFFSET('Smelter Look-up'!$C$4,$V33-4,0)&amp;"")</f>
        <v>Argor-Heraeus S.A.</v>
      </c>
      <c r="S33" s="181" t="str">
        <f t="shared" ca="1" si="3"/>
        <v>CH</v>
      </c>
      <c r="T33" s="181" t="str">
        <f ca="1">IF(B33="","",IF(ISERROR(MATCH($J33,SorP!$B$1:$B$6279,0)),"",INDIRECT("'SorP'!$A$"&amp;MATCH($J33,SorP!$B$1:$B$6279,0))))</f>
        <v>CH-TI</v>
      </c>
      <c r="U33" s="201"/>
      <c r="V33" s="227">
        <f ca="1">IF(C33="",NA(),IF(OR(C33="Smelter not listed",C33="Smelter not yet identified"),MATCH($B33&amp;$D33,'Smelter Look-up'!$J:$J,0),MATCH($B33&amp;$C33,'Smelter Look-up'!$J:$J,0)))</f>
        <v>28</v>
      </c>
      <c r="X33" s="228">
        <f t="shared" ca="1" si="4"/>
        <v>0</v>
      </c>
      <c r="AB33" s="229" t="str">
        <f t="shared" ca="1" si="5"/>
        <v>GoldArgor-Heraeus S.A.</v>
      </c>
    </row>
    <row r="34" spans="1:28" s="228" customFormat="1" ht="25.5">
      <c r="A34" s="181" t="s">
        <v>658</v>
      </c>
      <c r="B34" s="182" t="str">
        <f ca="1">IF(LEN(A34)=0,"",INDEX('Smelter Look-up'!$A:$A,MATCH($A34,'Smelter Look-up'!$E:$E,0)))</f>
        <v>Gold</v>
      </c>
      <c r="C34" s="186" t="str">
        <f ca="1">IF(LEN(A34)=0,"",INDEX('Smelter Look-up'!$C:$C,MATCH($A34,'Smelter Look-up'!$E:$E,0)))</f>
        <v>Aurubis AG</v>
      </c>
      <c r="D34" s="233"/>
      <c r="E34" s="182" t="str">
        <f ca="1">IF(ISERROR($V34),"",OFFSET('Smelter Look-up'!$D$4,$V34-4,0)&amp;"")</f>
        <v>GERMANY</v>
      </c>
      <c r="F34" s="182" t="str">
        <f ca="1">IF(ISERROR($V34),"",OFFSET('Smelter Look-up'!$E$4,$V34-4,0))</f>
        <v>CID000113</v>
      </c>
      <c r="G34" s="182" t="str">
        <f ca="1">IF(C34=$X$4,IF(ISERROR($V34),"Enter smelter details","RMI"),IF(ISERROR($V34),"",OFFSET('Smelter Look-up'!$F$4,$V34-4,0)))</f>
        <v>RMI</v>
      </c>
      <c r="H34" s="183">
        <f ca="1">IF(ISERROR($V34),"",OFFSET('Smelter Look-up'!$G$4,$V34-4,0))</f>
        <v>0</v>
      </c>
      <c r="I34" s="184" t="str">
        <f ca="1">IF(ISERROR($V34),"",OFFSET('Smelter Look-up'!$H$4,$V34-4,0))</f>
        <v>Hamburg</v>
      </c>
      <c r="J34" s="184" t="str">
        <f ca="1">IF(ISERROR($V34),"",OFFSET('Smelter Look-up'!$I$4,$V34-4,0))</f>
        <v>Hamburg</v>
      </c>
      <c r="K34" s="225"/>
      <c r="L34" s="225"/>
      <c r="M34" s="225"/>
      <c r="N34" s="225"/>
      <c r="O34" s="225"/>
      <c r="P34" s="185"/>
      <c r="Q34" s="226"/>
      <c r="R34" s="182" t="str">
        <f ca="1">IF(ISERROR($V34),"",OFFSET('Smelter Look-up'!$C$4,$V34-4,0)&amp;"")</f>
        <v>Aurubis AG</v>
      </c>
      <c r="S34" s="181" t="str">
        <f t="shared" ca="1" si="3"/>
        <v>DE</v>
      </c>
      <c r="T34" s="181" t="str">
        <f ca="1">IF(B34="","",IF(ISERROR(MATCH($J34,SorP!$B$1:$B$6279,0)),"",INDIRECT("'SorP'!$A$"&amp;MATCH($J34,SorP!$B$1:$B$6279,0))))</f>
        <v>DE-HH</v>
      </c>
      <c r="U34" s="201"/>
      <c r="V34" s="227">
        <f ca="1">IF(C34="",NA(),IF(OR(C34="Smelter not listed",C34="Smelter not yet identified"),MATCH($B34&amp;$D34,'Smelter Look-up'!$J:$J,0),MATCH($B34&amp;$C34,'Smelter Look-up'!$J:$J,0)))</f>
        <v>37</v>
      </c>
      <c r="X34" s="228">
        <f t="shared" ca="1" si="4"/>
        <v>0</v>
      </c>
      <c r="AB34" s="229" t="str">
        <f t="shared" ca="1" si="5"/>
        <v>GoldAurubis AG</v>
      </c>
    </row>
    <row r="35" spans="1:28" s="228" customFormat="1" ht="51">
      <c r="A35" s="181" t="s">
        <v>662</v>
      </c>
      <c r="B35" s="182" t="str">
        <f ca="1">IF(LEN(A35)=0,"",INDEX('Smelter Look-up'!$A:$A,MATCH($A35,'Smelter Look-up'!$E:$E,0)))</f>
        <v>Gold</v>
      </c>
      <c r="C35" s="186" t="str">
        <f ca="1">IF(LEN(A35)=0,"",INDEX('Smelter Look-up'!$C:$C,MATCH($A35,'Smelter Look-up'!$E:$E,0)))</f>
        <v>C. Hafner GmbH + Co. KG</v>
      </c>
      <c r="D35" s="233"/>
      <c r="E35" s="182" t="str">
        <f ca="1">IF(ISERROR($V35),"",OFFSET('Smelter Look-up'!$D$4,$V35-4,0)&amp;"")</f>
        <v>GERMANY</v>
      </c>
      <c r="F35" s="182" t="str">
        <f ca="1">IF(ISERROR($V35),"",OFFSET('Smelter Look-up'!$E$4,$V35-4,0))</f>
        <v>CID000176</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5"/>
      <c r="L35" s="225"/>
      <c r="M35" s="225"/>
      <c r="N35" s="225"/>
      <c r="O35" s="225"/>
      <c r="P35" s="185"/>
      <c r="Q35" s="226"/>
      <c r="R35" s="182" t="str">
        <f ca="1">IF(ISERROR($V35),"",OFFSET('Smelter Look-up'!$C$4,$V35-4,0)&amp;"")</f>
        <v>C. Hafner GmbH + Co. KG</v>
      </c>
      <c r="S35" s="181" t="str">
        <f t="shared" ca="1" si="3"/>
        <v>DE</v>
      </c>
      <c r="T35" s="181" t="str">
        <f ca="1">IF(B35="","",IF(ISERROR(MATCH($J35,SorP!$B$1:$B$6279,0)),"",INDIRECT("'SorP'!$A$"&amp;MATCH($J35,SorP!$B$1:$B$6279,0))))</f>
        <v>DE-BW</v>
      </c>
      <c r="U35" s="201"/>
      <c r="V35" s="227">
        <f ca="1">IF(C35="",NA(),IF(OR(C35="Smelter not listed",C35="Smelter not yet identified"),MATCH($B35&amp;$D35,'Smelter Look-up'!$J:$J,0),MATCH($B35&amp;$C35,'Smelter Look-up'!$J:$J,0)))</f>
        <v>43</v>
      </c>
      <c r="X35" s="228">
        <f t="shared" ca="1" si="4"/>
        <v>0</v>
      </c>
      <c r="AB35" s="229" t="str">
        <f t="shared" ca="1" si="5"/>
        <v>GoldC. Hafner GmbH + Co. KG</v>
      </c>
    </row>
    <row r="36" spans="1:28" s="228" customFormat="1" ht="51">
      <c r="A36" s="181" t="s">
        <v>676</v>
      </c>
      <c r="B36" s="182" t="str">
        <f ca="1">IF(LEN(A36)=0,"",INDEX('Smelter Look-up'!$A:$A,MATCH($A36,'Smelter Look-up'!$E:$E,0)))</f>
        <v>Gold</v>
      </c>
      <c r="C36" s="186" t="str">
        <f ca="1">IF(LEN(A36)=0,"",INDEX('Smelter Look-up'!$C:$C,MATCH($A36,'Smelter Look-up'!$E:$E,0)))</f>
        <v>Heimerle + Meule GmbH</v>
      </c>
      <c r="D36" s="233"/>
      <c r="E36" s="182" t="str">
        <f ca="1">IF(ISERROR($V36),"",OFFSET('Smelter Look-up'!$D$4,$V36-4,0)&amp;"")</f>
        <v>GERMANY</v>
      </c>
      <c r="F36" s="182" t="str">
        <f ca="1">IF(ISERROR($V36),"",OFFSET('Smelter Look-up'!$E$4,$V36-4,0))</f>
        <v>CID000694</v>
      </c>
      <c r="G36" s="182" t="str">
        <f ca="1">IF(C36=$X$4,IF(ISERROR($V36),"Enter smelter details","RMI"),IF(ISERROR($V36),"",OFFSET('Smelter Look-up'!$F$4,$V36-4,0)))</f>
        <v>RMI</v>
      </c>
      <c r="H36" s="183">
        <f ca="1">IF(ISERROR($V36),"",OFFSET('Smelter Look-up'!$G$4,$V36-4,0))</f>
        <v>0</v>
      </c>
      <c r="I36" s="184" t="str">
        <f ca="1">IF(ISERROR($V36),"",OFFSET('Smelter Look-up'!$H$4,$V36-4,0))</f>
        <v>Pforzheim</v>
      </c>
      <c r="J36" s="184" t="str">
        <f ca="1">IF(ISERROR($V36),"",OFFSET('Smelter Look-up'!$I$4,$V36-4,0))</f>
        <v>Baden-Württemberg</v>
      </c>
      <c r="K36" s="225"/>
      <c r="L36" s="225"/>
      <c r="M36" s="225"/>
      <c r="N36" s="225"/>
      <c r="O36" s="225"/>
      <c r="P36" s="185"/>
      <c r="Q36" s="226"/>
      <c r="R36" s="182" t="str">
        <f ca="1">IF(ISERROR($V36),"",OFFSET('Smelter Look-up'!$C$4,$V36-4,0)&amp;"")</f>
        <v>Heimerle + Meule GmbH</v>
      </c>
      <c r="S36" s="181" t="str">
        <f t="shared" ca="1" si="3"/>
        <v>DE</v>
      </c>
      <c r="T36" s="181" t="str">
        <f ca="1">IF(B36="","",IF(ISERROR(MATCH($J36,SorP!$B$1:$B$6279,0)),"",INDIRECT("'SorP'!$A$"&amp;MATCH($J36,SorP!$B$1:$B$6279,0))))</f>
        <v>DE-BW</v>
      </c>
      <c r="U36" s="201"/>
      <c r="V36" s="227">
        <f ca="1">IF(C36="",NA(),IF(OR(C36="Smelter not listed",C36="Smelter not yet identified"),MATCH($B36&amp;$D36,'Smelter Look-up'!$J:$J,0),MATCH($B36&amp;$C36,'Smelter Look-up'!$J:$J,0)))</f>
        <v>101</v>
      </c>
      <c r="X36" s="228">
        <f t="shared" ca="1" si="4"/>
        <v>0</v>
      </c>
      <c r="AB36" s="229" t="str">
        <f t="shared" ca="1" si="5"/>
        <v>GoldHeimerle + Meule GmbH</v>
      </c>
    </row>
    <row r="37" spans="1:28" s="228" customFormat="1" ht="63.75">
      <c r="A37" s="181" t="s">
        <v>678</v>
      </c>
      <c r="B37" s="182" t="str">
        <f ca="1">IF(LEN(A37)=0,"",INDEX('Smelter Look-up'!$A:$A,MATCH($A37,'Smelter Look-up'!$E:$E,0)))</f>
        <v>Gold</v>
      </c>
      <c r="C37" s="186" t="str">
        <f ca="1">IF(LEN(A37)=0,"",INDEX('Smelter Look-up'!$C:$C,MATCH($A37,'Smelter Look-up'!$E:$E,0)))</f>
        <v>Heraeus Germany GmbH Co. KG</v>
      </c>
      <c r="D37" s="233"/>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5"/>
      <c r="L37" s="225"/>
      <c r="M37" s="225"/>
      <c r="N37" s="225"/>
      <c r="O37" s="225"/>
      <c r="P37" s="185"/>
      <c r="Q37" s="226"/>
      <c r="R37" s="182" t="str">
        <f ca="1">IF(ISERROR($V37),"",OFFSET('Smelter Look-up'!$C$4,$V37-4,0)&amp;"")</f>
        <v>Heraeus Germany GmbH Co. KG</v>
      </c>
      <c r="S37" s="181" t="str">
        <f t="shared" ca="1" si="3"/>
        <v>DE</v>
      </c>
      <c r="T37" s="181" t="str">
        <f ca="1">IF(B37="","",IF(ISERROR(MATCH($J37,SorP!$B$1:$B$6279,0)),"",INDIRECT("'SorP'!$A$"&amp;MATCH($J37,SorP!$B$1:$B$6279,0))))</f>
        <v>DE-HE</v>
      </c>
      <c r="U37" s="201"/>
      <c r="V37" s="227">
        <f ca="1">IF(C37="",NA(),IF(OR(C37="Smelter not listed",C37="Smelter not yet identified"),MATCH($B37&amp;$D37,'Smelter Look-up'!$J:$J,0),MATCH($B37&amp;$C37,'Smelter Look-up'!$J:$J,0)))</f>
        <v>105</v>
      </c>
      <c r="X37" s="228">
        <f t="shared" ca="1" si="4"/>
        <v>0</v>
      </c>
      <c r="AB37" s="229" t="str">
        <f t="shared" ca="1" si="5"/>
        <v>GoldHeraeus Germany GmbH Co. KG</v>
      </c>
    </row>
    <row r="38" spans="1:28" s="228" customFormat="1" ht="102">
      <c r="A38" s="181" t="s">
        <v>736</v>
      </c>
      <c r="B38" s="182" t="str">
        <f ca="1">IF(LEN(A38)=0,"",INDEX('Smelter Look-up'!$A:$A,MATCH($A38,'Smelter Look-up'!$E:$E,0)))</f>
        <v>Gold</v>
      </c>
      <c r="C38" s="186" t="str">
        <f ca="1">IF(LEN(A38)=0,"",INDEX('Smelter Look-up'!$C:$C,MATCH($A38,'Smelter Look-up'!$E:$E,0)))</f>
        <v>Umicore S.A. Business Unit Precious Metals Refining</v>
      </c>
      <c r="D38" s="233"/>
      <c r="E38" s="182" t="str">
        <f ca="1">IF(ISERROR($V38),"",OFFSET('Smelter Look-up'!$D$4,$V38-4,0)&amp;"")</f>
        <v>BELGIUM</v>
      </c>
      <c r="F38" s="182" t="str">
        <f ca="1">IF(ISERROR($V38),"",OFFSET('Smelter Look-up'!$E$4,$V38-4,0))</f>
        <v>CID001980</v>
      </c>
      <c r="G38" s="182" t="str">
        <f ca="1">IF(C38=$X$4,IF(ISERROR($V38),"Enter smelter details","RMI"),IF(ISERROR($V38),"",OFFSET('Smelter Look-up'!$F$4,$V38-4,0)))</f>
        <v>RMI</v>
      </c>
      <c r="H38" s="183">
        <f ca="1">IF(ISERROR($V38),"",OFFSET('Smelter Look-up'!$G$4,$V38-4,0))</f>
        <v>0</v>
      </c>
      <c r="I38" s="184" t="str">
        <f ca="1">IF(ISERROR($V38),"",OFFSET('Smelter Look-up'!$H$4,$V38-4,0))</f>
        <v>Hoboken</v>
      </c>
      <c r="J38" s="184" t="str">
        <f ca="1">IF(ISERROR($V38),"",OFFSET('Smelter Look-up'!$I$4,$V38-4,0))</f>
        <v>Antwerpen</v>
      </c>
      <c r="K38" s="225"/>
      <c r="L38" s="225"/>
      <c r="M38" s="225"/>
      <c r="N38" s="225"/>
      <c r="O38" s="225"/>
      <c r="P38" s="185"/>
      <c r="Q38" s="226"/>
      <c r="R38" s="182" t="str">
        <f ca="1">IF(ISERROR($V38),"",OFFSET('Smelter Look-up'!$C$4,$V38-4,0)&amp;"")</f>
        <v>Umicore S.A. Business Unit Precious Metals Refining</v>
      </c>
      <c r="S38" s="181" t="str">
        <f t="shared" ref="S38:S68" ca="1" si="6">IF(B38="","",IF(ISERROR(MATCH($E38,CL,0)),"Unknown",INDIRECT("'C'!$A$"&amp;MATCH($E38,CL,0)+1)))</f>
        <v>BE</v>
      </c>
      <c r="T38" s="181" t="str">
        <f ca="1">IF(B38="","",IF(ISERROR(MATCH($J38,SorP!$B$1:$B$6279,0)),"",INDIRECT("'SorP'!$A$"&amp;MATCH($J38,SorP!$B$1:$B$6279,0))))</f>
        <v>BE-VAN</v>
      </c>
      <c r="U38" s="201"/>
      <c r="V38" s="227">
        <f ca="1">IF(C38="",NA(),IF(OR(C38="Smelter not listed",C38="Smelter not yet identified"),MATCH($B38&amp;$D38,'Smelter Look-up'!$J:$J,0),MATCH($B38&amp;$C38,'Smelter Look-up'!$J:$J,0)))</f>
        <v>293</v>
      </c>
      <c r="X38" s="228">
        <f t="shared" ref="X38:X68" ca="1" si="7">IF(AND(C38="Smelter not listed",OR(LEN(D38)=0,LEN(E38)=0)),1,0)</f>
        <v>0</v>
      </c>
      <c r="AB38" s="229" t="str">
        <f t="shared" ref="AB38:AB68" ca="1" si="8">B38&amp;C38</f>
        <v>GoldUmicore S.A. Business Unit Precious Metals Refining</v>
      </c>
    </row>
    <row r="39" spans="1:28" s="228" customFormat="1" ht="25.5">
      <c r="A39" s="181" t="s">
        <v>2318</v>
      </c>
      <c r="B39" s="182" t="str">
        <f ca="1">IF(LEN(A39)=0,"",INDEX('Smelter Look-up'!$A:$A,MATCH($A39,'Smelter Look-up'!$E:$E,0)))</f>
        <v>Gold</v>
      </c>
      <c r="C39" s="186" t="str">
        <f ca="1">IF(LEN(A39)=0,"",INDEX('Smelter Look-up'!$C:$C,MATCH($A39,'Smelter Look-up'!$E:$E,0)))</f>
        <v>SAFINA A.S.</v>
      </c>
      <c r="D39" s="233"/>
      <c r="E39" s="182" t="str">
        <f ca="1">IF(ISERROR($V39),"",OFFSET('Smelter Look-up'!$D$4,$V39-4,0)&amp;"")</f>
        <v>CZECHIA</v>
      </c>
      <c r="F39" s="182" t="str">
        <f ca="1">IF(ISERROR($V39),"",OFFSET('Smelter Look-up'!$E$4,$V39-4,0))</f>
        <v>CID002290</v>
      </c>
      <c r="G39" s="182" t="str">
        <f ca="1">IF(C39=$X$4,IF(ISERROR($V39),"Enter smelter details","RMI"),IF(ISERROR($V39),"",OFFSET('Smelter Look-up'!$F$4,$V39-4,0)))</f>
        <v>RMI</v>
      </c>
      <c r="H39" s="183">
        <f ca="1">IF(ISERROR($V39),"",OFFSET('Smelter Look-up'!$G$4,$V39-4,0))</f>
        <v>0</v>
      </c>
      <c r="I39" s="184" t="str">
        <f ca="1">IF(ISERROR($V39),"",OFFSET('Smelter Look-up'!$H$4,$V39-4,0))</f>
        <v>Vestec</v>
      </c>
      <c r="J39" s="184" t="str">
        <f ca="1">IF(ISERROR($V39),"",OFFSET('Smelter Look-up'!$I$4,$V39-4,0))</f>
        <v>Praha-západ</v>
      </c>
      <c r="K39" s="225"/>
      <c r="L39" s="225"/>
      <c r="M39" s="225"/>
      <c r="N39" s="225"/>
      <c r="O39" s="225"/>
      <c r="P39" s="185"/>
      <c r="Q39" s="226"/>
      <c r="R39" s="182" t="str">
        <f ca="1">IF(ISERROR($V39),"",OFFSET('Smelter Look-up'!$C$4,$V39-4,0)&amp;"")</f>
        <v>SAFINA A.S.</v>
      </c>
      <c r="S39" s="181" t="str">
        <f t="shared" ca="1" si="6"/>
        <v>CZ</v>
      </c>
      <c r="T39" s="181" t="str">
        <f ca="1">IF(B39="","",IF(ISERROR(MATCH($J39,SorP!$B$1:$B$6279,0)),"",INDIRECT("'SorP'!$A$"&amp;MATCH($J39,SorP!$B$1:$B$6279,0))))</f>
        <v>CZ-20A</v>
      </c>
      <c r="U39" s="201"/>
      <c r="V39" s="227">
        <f ca="1">IF(C39="",NA(),IF(OR(C39="Smelter not listed",C39="Smelter not yet identified"),MATCH($B39&amp;$D39,'Smelter Look-up'!$J:$J,0),MATCH($B39&amp;$C39,'Smelter Look-up'!$J:$J,0)))</f>
        <v>224</v>
      </c>
      <c r="X39" s="228">
        <f t="shared" ca="1" si="7"/>
        <v>0</v>
      </c>
      <c r="AB39" s="229" t="str">
        <f t="shared" ca="1" si="8"/>
        <v>GoldSAFINA A.S.</v>
      </c>
    </row>
    <row r="40" spans="1:28" s="228" customFormat="1" ht="63.75">
      <c r="A40" s="181" t="s">
        <v>2204</v>
      </c>
      <c r="B40" s="182" t="str">
        <f ca="1">IF(LEN(A40)=0,"",INDEX('Smelter Look-up'!$A:$A,MATCH($A40,'Smelter Look-up'!$E:$E,0)))</f>
        <v>Gold</v>
      </c>
      <c r="C40" s="186" t="str">
        <f ca="1">IF(LEN(A40)=0,"",INDEX('Smelter Look-up'!$C:$C,MATCH($A40,'Smelter Look-up'!$E:$E,0)))</f>
        <v>WIELAND Edelmetalle GmbH</v>
      </c>
      <c r="D40" s="233"/>
      <c r="E40" s="182" t="str">
        <f ca="1">IF(ISERROR($V40),"",OFFSET('Smelter Look-up'!$D$4,$V40-4,0)&amp;"")</f>
        <v>GERMANY</v>
      </c>
      <c r="F40" s="182" t="str">
        <f ca="1">IF(ISERROR($V40),"",OFFSET('Smelter Look-up'!$E$4,$V40-4,0))</f>
        <v>CID002778</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5"/>
      <c r="L40" s="225"/>
      <c r="M40" s="225"/>
      <c r="N40" s="225"/>
      <c r="O40" s="225"/>
      <c r="P40" s="185"/>
      <c r="Q40" s="226"/>
      <c r="R40" s="182" t="str">
        <f ca="1">IF(ISERROR($V40),"",OFFSET('Smelter Look-up'!$C$4,$V40-4,0)&amp;"")</f>
        <v>WIELAND Edelmetalle GmbH</v>
      </c>
      <c r="S40" s="181" t="str">
        <f t="shared" ca="1" si="6"/>
        <v>DE</v>
      </c>
      <c r="T40" s="181" t="str">
        <f ca="1">IF(B40="","",IF(ISERROR(MATCH($J40,SorP!$B$1:$B$6279,0)),"",INDIRECT("'SorP'!$A$"&amp;MATCH($J40,SorP!$B$1:$B$6279,0))))</f>
        <v>DE-BW</v>
      </c>
      <c r="U40" s="201"/>
      <c r="V40" s="227">
        <f ca="1">IF(C40="",NA(),IF(OR(C40="Smelter not listed",C40="Smelter not yet identified"),MATCH($B40&amp;$D40,'Smelter Look-up'!$J:$J,0),MATCH($B40&amp;$C40,'Smelter Look-up'!$J:$J,0)))</f>
        <v>298</v>
      </c>
      <c r="X40" s="228">
        <f t="shared" ca="1" si="7"/>
        <v>0</v>
      </c>
      <c r="AB40" s="229" t="str">
        <f t="shared" ca="1" si="8"/>
        <v>GoldWIELAND Edelmetalle GmbH</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77302BC-32DE-4DD3-BF7F-91C1726EAF39}"/>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Um sicherzustellen, dass alle erforderlichen Felder vor dem Versand an ihren Kunden ausgefüllt sind, alle rot markierten Felder beachten.</v>
      </c>
      <c r="B1" s="387"/>
      <c r="C1" s="387"/>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Diehl Metal Applications GmbH</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This CMRT is valid for DMA Berlin and DMA Teltow.
Dieser Bericht auf Basis des CMRT gilt für unsere Werke in Berlin und in Teltow.</v>
      </c>
      <c r="C6" s="89" t="str">
        <f ca="1">IF(H6=1,J6,I6)</f>
        <v>Vollständig</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Stephan Osterwald</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stephan.osterwald@diehl.com</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7" t="str">
        <f>Declaration!D17</f>
        <v>+49-30-84784 4615</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Stephan Osterwald</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stephan.osterwald@diehl.com</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45061</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51">
      <c r="A25" s="90" t="str">
        <f ca="1">Declaration!B39</f>
        <v>Zinn  (*)</v>
      </c>
      <c r="B25" s="89" t="str">
        <f>IF(AND($B$15="Yes",$B$20="Yes"),Declaration!D39,0)</f>
        <v>Yes</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51">
      <c r="A26" s="90" t="str">
        <f ca="1">Declaration!B40</f>
        <v>Gold  (*)</v>
      </c>
      <c r="B26" s="89" t="str">
        <f>IF(AND($B$16="Yes",$B$21="Yes"),Declaration!D40,0)</f>
        <v>No</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4"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4"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4"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4"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 xml:space="preserve">Tantal  </v>
      </c>
      <c r="B34" s="89">
        <f>IF(AND($B$14="Yes",$B$19="Yes"),Declaration!D50,0)</f>
        <v>0</v>
      </c>
      <c r="C34" s="89" t="str">
        <f ca="1">IF(H34=1,J34,I34)</f>
        <v>Vollständig</v>
      </c>
      <c r="D34" s="264"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51">
      <c r="A35" s="90" t="str">
        <f ca="1">Declaration!B51</f>
        <v>Zinn  (*)</v>
      </c>
      <c r="B35" s="89" t="str">
        <f>IF(AND($B$15="Yes",$B$20="Yes"),Declaration!D51,0)</f>
        <v>No</v>
      </c>
      <c r="C35" s="89" t="str">
        <f ca="1">IF(H35=1,J35,I35)</f>
        <v>Vollständig</v>
      </c>
      <c r="D35" s="264"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51">
      <c r="A36" s="90" t="str">
        <f ca="1">Declaration!B52</f>
        <v>Gold  (*)</v>
      </c>
      <c r="B36" s="89" t="str">
        <f>IF(AND($B$16="Yes",$B$21="Yes"),Declaration!D52,0)</f>
        <v>Yes</v>
      </c>
      <c r="C36" s="89" t="str">
        <f ca="1">IF(H36=1,J36,I36)</f>
        <v>Vollständig</v>
      </c>
      <c r="D36" s="264"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4"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 xml:space="preserve">Tantal  </v>
      </c>
      <c r="B39" s="272">
        <f>IF(AND($B$14="Yes",$B$19="Yes"),Declaration!D56,0)</f>
        <v>0</v>
      </c>
      <c r="C39" s="89" t="str">
        <f ca="1">IF(H39=1,J39,I39)</f>
        <v>Vollständig</v>
      </c>
      <c r="D39" s="265"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38.25">
      <c r="A40" s="90" t="str">
        <f ca="1">Declaration!B57</f>
        <v>Zinn  (*)</v>
      </c>
      <c r="B40" s="272" t="str">
        <f>IF(AND($B$15="Yes",$B$20="Yes"),Declaration!D57,0)</f>
        <v>100%</v>
      </c>
      <c r="C40" s="89" t="str">
        <f ca="1">IF(H40=1,J40,I40)</f>
        <v>Vollständig</v>
      </c>
      <c r="D40" s="265"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38.25">
      <c r="A41" s="90" t="str">
        <f ca="1">Declaration!B58</f>
        <v>Gold  (*)</v>
      </c>
      <c r="B41" s="272" t="str">
        <f>IF(AND($B$16="Yes",$B$21="Yes"),Declaration!D58,0)</f>
        <v>100%</v>
      </c>
      <c r="C41" s="89" t="str">
        <f ca="1">IF(H41=1,J41,I41)</f>
        <v>Vollständig</v>
      </c>
      <c r="D41" s="265"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72">
        <f>IF(AND($B$17="Yes",$B$22="Yes"),Declaration!D59,0)</f>
        <v>0</v>
      </c>
      <c r="C42" s="89" t="str">
        <f ca="1">IF(H42=1,J42,I42)</f>
        <v>Vollständig</v>
      </c>
      <c r="D42" s="265"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4"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4"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4"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4"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5"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5"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5"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5"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51">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t="str">
        <f>Declaration!G77</f>
        <v>https://www.diehl.com/group/de/unternehmen/compliance/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63.75">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Yes, with the EU</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Abschluss nur erforderlich, wenn die Ebene "Produkt (oder eine Liste von Produkten)" auf der "Erklärung" Arbeitsblatt ausgewählt wurde-</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5">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0">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28.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6.7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05">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56.75">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28.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56.2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30">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0">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28.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28.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OSTERWALD</cp:lastModifiedBy>
  <cp:lastPrinted>2015-04-21T20:47:43Z</cp:lastPrinted>
  <dcterms:created xsi:type="dcterms:W3CDTF">2010-06-21T21:00:23Z</dcterms:created>
  <dcterms:modified xsi:type="dcterms:W3CDTF">2023-05-16T15:54:37Z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