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autoCompressPictures="0"/>
  <mc:AlternateContent xmlns:mc="http://schemas.openxmlformats.org/markup-compatibility/2006">
    <mc:Choice Requires="x15">
      <x15ac:absPath xmlns:x15ac="http://schemas.microsoft.com/office/spreadsheetml/2010/11/ac" url="C:\Users\MM362671\AppData\Local\Microsoft\Windows\INetCache\Content.Outlook\7JVAV13Y\"/>
    </mc:Choice>
  </mc:AlternateContent>
  <xr:revisionPtr revIDLastSave="0" documentId="13_ncr:1_{37944B21-DB2D-4693-8442-DAD0F4A909C8}"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5440" windowHeight="1539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5" i="5" l="1"/>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V8"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X6" i="5"/>
  <c r="V9" i="5"/>
  <c r="R9" i="5" s="1"/>
  <c r="V10" i="5"/>
  <c r="X10" i="5"/>
  <c r="V11" i="5"/>
  <c r="X11" i="5"/>
  <c r="V12" i="5"/>
  <c r="V13" i="5"/>
  <c r="R13" i="5" s="1"/>
  <c r="X13" i="5"/>
  <c r="V14" i="5"/>
  <c r="X14" i="5"/>
  <c r="V15" i="5"/>
  <c r="V16" i="5"/>
  <c r="X16" i="5"/>
  <c r="V17" i="5"/>
  <c r="X17" i="5"/>
  <c r="V18" i="5"/>
  <c r="V19" i="5"/>
  <c r="R19" i="5" s="1"/>
  <c r="X19" i="5"/>
  <c r="V20" i="5"/>
  <c r="R20" i="5" s="1"/>
  <c r="X20" i="5"/>
  <c r="V21" i="5"/>
  <c r="V22" i="5"/>
  <c r="X22" i="5"/>
  <c r="V23" i="5"/>
  <c r="X23" i="5"/>
  <c r="V24" i="5"/>
  <c r="X24" i="5"/>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V88" i="5"/>
  <c r="E88" i="5"/>
  <c r="X88" i="5" s="1"/>
  <c r="V89" i="5"/>
  <c r="E89" i="5"/>
  <c r="X89" i="5" s="1"/>
  <c r="V90" i="5"/>
  <c r="E90" i="5"/>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V127" i="5"/>
  <c r="E127" i="5"/>
  <c r="X127" i="5" s="1"/>
  <c r="V128" i="5"/>
  <c r="E128" i="5"/>
  <c r="X128" i="5" s="1"/>
  <c r="V129" i="5"/>
  <c r="E129" i="5"/>
  <c r="X129" i="5" s="1"/>
  <c r="V130" i="5"/>
  <c r="E130" i="5"/>
  <c r="X130" i="5" s="1"/>
  <c r="V131" i="5"/>
  <c r="E131" i="5"/>
  <c r="X131" i="5" s="1"/>
  <c r="V132" i="5"/>
  <c r="E132" i="5"/>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V166" i="5"/>
  <c r="E166" i="5"/>
  <c r="X166" i="5" s="1"/>
  <c r="V167" i="5"/>
  <c r="E167" i="5"/>
  <c r="X167" i="5" s="1"/>
  <c r="V168" i="5"/>
  <c r="E168" i="5"/>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V241" i="5"/>
  <c r="E241" i="5"/>
  <c r="X241" i="5" s="1"/>
  <c r="V242" i="5"/>
  <c r="E242" i="5"/>
  <c r="X242" i="5" s="1"/>
  <c r="V243" i="5"/>
  <c r="E243" i="5"/>
  <c r="X243" i="5" s="1"/>
  <c r="V244" i="5"/>
  <c r="E244" i="5"/>
  <c r="X244" i="5" s="1"/>
  <c r="V245" i="5"/>
  <c r="E245" i="5"/>
  <c r="X245" i="5" s="1"/>
  <c r="V246" i="5"/>
  <c r="E246" i="5"/>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V307" i="5"/>
  <c r="E307" i="5"/>
  <c r="X307" i="5" s="1"/>
  <c r="V308" i="5"/>
  <c r="E308" i="5"/>
  <c r="X308" i="5" s="1"/>
  <c r="V309" i="5"/>
  <c r="E309" i="5"/>
  <c r="V310" i="5"/>
  <c r="E310" i="5"/>
  <c r="X310" i="5" s="1"/>
  <c r="V311" i="5"/>
  <c r="E311" i="5"/>
  <c r="X311" i="5" s="1"/>
  <c r="V312" i="5"/>
  <c r="E312" i="5"/>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V322" i="5"/>
  <c r="E322" i="5"/>
  <c r="X322" i="5" s="1"/>
  <c r="V323" i="5"/>
  <c r="E323" i="5"/>
  <c r="X323" i="5" s="1"/>
  <c r="V324" i="5"/>
  <c r="E324" i="5"/>
  <c r="X324" i="5" s="1"/>
  <c r="V325" i="5"/>
  <c r="E325" i="5"/>
  <c r="X325" i="5" s="1"/>
  <c r="V326" i="5"/>
  <c r="E326" i="5"/>
  <c r="X326" i="5" s="1"/>
  <c r="V327" i="5"/>
  <c r="E327" i="5"/>
  <c r="V328" i="5"/>
  <c r="E328" i="5"/>
  <c r="X328" i="5" s="1"/>
  <c r="V329" i="5"/>
  <c r="E329" i="5"/>
  <c r="X329" i="5" s="1"/>
  <c r="V330" i="5"/>
  <c r="E330" i="5"/>
  <c r="X330" i="5" s="1"/>
  <c r="V331" i="5"/>
  <c r="E331" i="5"/>
  <c r="X331" i="5" s="1"/>
  <c r="V332" i="5"/>
  <c r="E332" i="5"/>
  <c r="X332" i="5" s="1"/>
  <c r="V333" i="5"/>
  <c r="E333" i="5"/>
  <c r="V334" i="5"/>
  <c r="E334" i="5"/>
  <c r="X334" i="5" s="1"/>
  <c r="V335" i="5"/>
  <c r="E335" i="5"/>
  <c r="X335" i="5" s="1"/>
  <c r="V336" i="5"/>
  <c r="E336" i="5"/>
  <c r="X336" i="5" s="1"/>
  <c r="V337" i="5"/>
  <c r="E337" i="5"/>
  <c r="X337" i="5" s="1"/>
  <c r="V338" i="5"/>
  <c r="E338" i="5"/>
  <c r="X338" i="5" s="1"/>
  <c r="V339" i="5"/>
  <c r="E339" i="5"/>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V361" i="5"/>
  <c r="E361" i="5"/>
  <c r="X361" i="5" s="1"/>
  <c r="V362" i="5"/>
  <c r="E362" i="5"/>
  <c r="X362" i="5" s="1"/>
  <c r="V363" i="5"/>
  <c r="E363" i="5"/>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V574" i="5"/>
  <c r="E574" i="5"/>
  <c r="X574" i="5" s="1"/>
  <c r="V575" i="5"/>
  <c r="E575" i="5"/>
  <c r="X575" i="5" s="1"/>
  <c r="V576" i="5"/>
  <c r="E576" i="5"/>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V589" i="5"/>
  <c r="E589" i="5"/>
  <c r="X589" i="5" s="1"/>
  <c r="V590" i="5"/>
  <c r="E590" i="5"/>
  <c r="X590" i="5" s="1"/>
  <c r="V591" i="5"/>
  <c r="E591" i="5"/>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V601" i="5"/>
  <c r="E601" i="5"/>
  <c r="X601" i="5" s="1"/>
  <c r="V602" i="5"/>
  <c r="E602" i="5"/>
  <c r="X602" i="5" s="1"/>
  <c r="V603" i="5"/>
  <c r="E603" i="5"/>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V673" i="5"/>
  <c r="E673" i="5"/>
  <c r="X673" i="5" s="1"/>
  <c r="V674" i="5"/>
  <c r="E674" i="5"/>
  <c r="X674" i="5" s="1"/>
  <c r="V675" i="5"/>
  <c r="E675" i="5"/>
  <c r="X675" i="5" s="1"/>
  <c r="V676" i="5"/>
  <c r="E676" i="5"/>
  <c r="X676" i="5" s="1"/>
  <c r="V677" i="5"/>
  <c r="E677" i="5"/>
  <c r="X677" i="5" s="1"/>
  <c r="V678" i="5"/>
  <c r="E678" i="5"/>
  <c r="V679" i="5"/>
  <c r="E679" i="5"/>
  <c r="X679" i="5" s="1"/>
  <c r="V680" i="5"/>
  <c r="E680" i="5"/>
  <c r="V681" i="5"/>
  <c r="E681" i="5"/>
  <c r="X681" i="5" s="1"/>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V883" i="5"/>
  <c r="E883" i="5"/>
  <c r="X883" i="5" s="1"/>
  <c r="V884" i="5"/>
  <c r="E884" i="5"/>
  <c r="X884" i="5" s="1"/>
  <c r="V885" i="5"/>
  <c r="E885" i="5"/>
  <c r="X885" i="5" s="1"/>
  <c r="V886" i="5"/>
  <c r="E886" i="5"/>
  <c r="X886" i="5" s="1"/>
  <c r="V887" i="5"/>
  <c r="E887" i="5"/>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V1069" i="5"/>
  <c r="E1069" i="5"/>
  <c r="X1069" i="5" s="1"/>
  <c r="V1070" i="5"/>
  <c r="E1070" i="5"/>
  <c r="X1070" i="5" s="1"/>
  <c r="V1071" i="5"/>
  <c r="E1071" i="5"/>
  <c r="V1072" i="5"/>
  <c r="E1072" i="5"/>
  <c r="X1072" i="5" s="1"/>
  <c r="V1073" i="5"/>
  <c r="E1073" i="5"/>
  <c r="X1073" i="5" s="1"/>
  <c r="V1074" i="5"/>
  <c r="E1074" i="5"/>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V1564" i="5"/>
  <c r="E1564" i="5"/>
  <c r="X1564" i="5" s="1"/>
  <c r="V1565" i="5"/>
  <c r="E1565" i="5"/>
  <c r="X1565" i="5" s="1"/>
  <c r="V1566" i="5"/>
  <c r="E1566" i="5"/>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V1648" i="5"/>
  <c r="E1648" i="5"/>
  <c r="X1648" i="5" s="1"/>
  <c r="V1649" i="5"/>
  <c r="E1649" i="5"/>
  <c r="X1649" i="5" s="1"/>
  <c r="V1650" i="5"/>
  <c r="E1650" i="5"/>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V1840" i="5"/>
  <c r="E1840" i="5"/>
  <c r="X1840" i="5" s="1"/>
  <c r="V1841" i="5"/>
  <c r="E1841" i="5"/>
  <c r="X1841" i="5" s="1"/>
  <c r="V1842" i="5"/>
  <c r="E1842" i="5"/>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V1855" i="5"/>
  <c r="E1855" i="5"/>
  <c r="X1855" i="5" s="1"/>
  <c r="V1856" i="5"/>
  <c r="E1856" i="5"/>
  <c r="X1856" i="5" s="1"/>
  <c r="V1857" i="5"/>
  <c r="E1857" i="5"/>
  <c r="X1857" i="5" s="1"/>
  <c r="V1858" i="5"/>
  <c r="E1858" i="5"/>
  <c r="X1858" i="5" s="1"/>
  <c r="V1859" i="5"/>
  <c r="E1859" i="5"/>
  <c r="X1859" i="5" s="1"/>
  <c r="V1860" i="5"/>
  <c r="E1860" i="5"/>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s="1"/>
  <c r="B56" i="6"/>
  <c r="G56" i="6" s="1"/>
  <c r="B55" i="6"/>
  <c r="G55" i="6"/>
  <c r="B54" i="6"/>
  <c r="G54" i="6" s="1"/>
  <c r="B17" i="6"/>
  <c r="B16" i="6"/>
  <c r="B15" i="6"/>
  <c r="F20" i="6" s="1"/>
  <c r="B14" i="6"/>
  <c r="G14" i="6"/>
  <c r="H14" i="6" s="1"/>
  <c r="H13" i="6"/>
  <c r="B12" i="6"/>
  <c r="G12" i="6" s="1"/>
  <c r="H12" i="6" s="1"/>
  <c r="D12" i="6" s="1"/>
  <c r="B11" i="6"/>
  <c r="G11" i="6"/>
  <c r="H11" i="6" s="1"/>
  <c r="D11" i="6" s="1"/>
  <c r="G9" i="6"/>
  <c r="H9" i="6" s="1"/>
  <c r="D9" i="6" s="1"/>
  <c r="B8" i="6"/>
  <c r="G8" i="6" s="1"/>
  <c r="H8" i="6" s="1"/>
  <c r="D8" i="6" s="1"/>
  <c r="B7" i="6"/>
  <c r="G7" i="6" s="1"/>
  <c r="H7" i="6" s="1"/>
  <c r="D7" i="6" s="1"/>
  <c r="B6" i="6"/>
  <c r="G6" i="6" s="1"/>
  <c r="H6" i="6" s="1"/>
  <c r="D6" i="6" s="1"/>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AB18" i="5"/>
  <c r="R6" i="5"/>
  <c r="AB6" i="5"/>
  <c r="B90" i="4"/>
  <c r="H67" i="4"/>
  <c r="P47" i="4"/>
  <c r="P46" i="4"/>
  <c r="P45" i="4"/>
  <c r="B45" i="4" s="1"/>
  <c r="A30" i="6" s="1"/>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AB20" i="5"/>
  <c r="R21"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114" i="5"/>
  <c r="F118" i="5"/>
  <c r="R118" i="5"/>
  <c r="J118" i="5"/>
  <c r="X5"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c r="D15" i="6" s="1"/>
  <c r="B20" i="6"/>
  <c r="B25" i="6" s="1"/>
  <c r="G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s="1"/>
  <c r="A38" i="2"/>
  <c r="J4" i="5"/>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X1272" i="5"/>
  <c r="H2069" i="5"/>
  <c r="J1959" i="5"/>
  <c r="R1959" i="5"/>
  <c r="I678" i="5"/>
  <c r="H678" i="5"/>
  <c r="J987" i="5"/>
  <c r="S606" i="5"/>
  <c r="S610" i="5"/>
  <c r="X363" i="5"/>
  <c r="S598" i="5"/>
  <c r="X165" i="5"/>
  <c r="X360" i="5"/>
  <c r="X21" i="5"/>
  <c r="S532" i="5"/>
  <c r="S356" i="5"/>
  <c r="X198" i="5"/>
  <c r="S343" i="5"/>
  <c r="X246" i="5"/>
  <c r="X333" i="5"/>
  <c r="X126" i="5"/>
  <c r="S315" i="5"/>
  <c r="X327" i="5"/>
  <c r="X66" i="5"/>
  <c r="S357" i="5"/>
  <c r="X90" i="5"/>
  <c r="S383" i="5"/>
  <c r="X321" i="5"/>
  <c r="X30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s="1"/>
  <c r="B41" i="6"/>
  <c r="G41" i="6"/>
  <c r="B31" i="6"/>
  <c r="G31"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X867"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X18" i="5"/>
  <c r="B35" i="6"/>
  <c r="G35" i="6" s="1"/>
  <c r="F2426" i="5"/>
  <c r="R2426" i="5"/>
  <c r="J2426" i="5"/>
  <c r="I2426" i="5"/>
  <c r="H2426" i="5"/>
  <c r="D5" i="6"/>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X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H26" i="6" s="1"/>
  <c r="D26" i="6" s="1"/>
  <c r="G21" i="6"/>
  <c r="H21" i="6"/>
  <c r="D21" i="6" s="1"/>
  <c r="B36" i="6"/>
  <c r="G36" i="6"/>
  <c r="G20" i="6"/>
  <c r="H2439" i="5"/>
  <c r="F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X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742"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I1259" i="5"/>
  <c r="H1259" i="5"/>
  <c r="R1259" i="5"/>
  <c r="J1259" i="5"/>
  <c r="F1259" i="5"/>
  <c r="F1350" i="5"/>
  <c r="R1350" i="5"/>
  <c r="J1350" i="5"/>
  <c r="I1350" i="5"/>
  <c r="H1350" i="5"/>
  <c r="X1350" i="5"/>
  <c r="F1330" i="5"/>
  <c r="R1330" i="5"/>
  <c r="J1330" i="5"/>
  <c r="I1330" i="5"/>
  <c r="H1330" i="5"/>
  <c r="F1322" i="5"/>
  <c r="R1322" i="5"/>
  <c r="J1322" i="5"/>
  <c r="I1322" i="5"/>
  <c r="H1322" i="5"/>
  <c r="F1314" i="5"/>
  <c r="X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X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s="1"/>
  <c r="F36" i="6"/>
  <c r="H36" i="6" s="1"/>
  <c r="D36" i="6" s="1"/>
  <c r="F51" i="6"/>
  <c r="H51" i="6"/>
  <c r="D51" i="6" s="1"/>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X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X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X183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X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X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X1734"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X1104" i="5"/>
  <c r="R1104" i="5"/>
  <c r="I1104" i="5"/>
  <c r="J1104" i="5"/>
  <c r="H1040" i="5"/>
  <c r="F1040" i="5"/>
  <c r="R1040" i="5"/>
  <c r="I1040" i="5"/>
  <c r="J1040" i="5"/>
  <c r="F1258" i="5"/>
  <c r="R1258" i="5"/>
  <c r="J1258" i="5"/>
  <c r="I1258" i="5"/>
  <c r="H1258" i="5"/>
  <c r="H1068" i="5"/>
  <c r="F1068" i="5"/>
  <c r="X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X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F902" i="5"/>
  <c r="R890" i="5"/>
  <c r="I890" i="5"/>
  <c r="H890" i="5"/>
  <c r="J890" i="5"/>
  <c r="F890" i="5"/>
  <c r="J977" i="5"/>
  <c r="I977" i="5"/>
  <c r="H977" i="5"/>
  <c r="R977" i="5"/>
  <c r="F977" i="5"/>
  <c r="F849" i="5"/>
  <c r="X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S597" i="5"/>
  <c r="S599" i="5"/>
  <c r="X462" i="5"/>
  <c r="S611" i="5"/>
  <c r="S601" i="5"/>
  <c r="X486" i="5"/>
  <c r="X264" i="5"/>
  <c r="X522" i="5"/>
  <c r="X339" i="5"/>
  <c r="X591" i="5"/>
  <c r="X600" i="5"/>
  <c r="S600" i="5"/>
  <c r="X168" i="5"/>
  <c r="X144" i="5"/>
  <c r="S382" i="5"/>
  <c r="X288" i="5"/>
  <c r="X537" i="5"/>
  <c r="X207" i="5"/>
  <c r="X306" i="5"/>
  <c r="S533" i="5"/>
  <c r="X513" i="5"/>
  <c r="X561" i="5"/>
  <c r="X216" i="5"/>
  <c r="S355" i="5"/>
  <c r="X588" i="5"/>
  <c r="S602" i="5"/>
  <c r="X573" i="5"/>
  <c r="X312" i="5"/>
  <c r="X156" i="5"/>
  <c r="X603" i="5"/>
  <c r="S603" i="5"/>
  <c r="S605" i="5"/>
  <c r="X102" i="5"/>
  <c r="X189" i="5"/>
  <c r="S607" i="5"/>
  <c r="X426" i="5"/>
  <c r="X501" i="5"/>
  <c r="X473" i="5"/>
  <c r="X132" i="5"/>
  <c r="X576" i="5"/>
  <c r="X87" i="5"/>
  <c r="S314" i="5"/>
  <c r="X414" i="5"/>
  <c r="X240" i="5"/>
  <c r="H46" i="6"/>
  <c r="D46" i="6"/>
  <c r="H31" i="6"/>
  <c r="D31" i="6" s="1"/>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7" i="5"/>
  <c r="R17" i="5"/>
  <c r="G67" i="6"/>
  <c r="R12" i="5"/>
  <c r="R8" i="5"/>
  <c r="R15" i="5"/>
  <c r="R11" i="5"/>
  <c r="R14" i="5"/>
  <c r="X9" i="5"/>
  <c r="X12" i="5"/>
  <c r="X15" i="5"/>
  <c r="X8" i="5"/>
  <c r="X7" i="5"/>
  <c r="S17" i="5"/>
  <c r="S22" i="5"/>
  <c r="S14" i="5"/>
  <c r="S8" i="5"/>
  <c r="S7" i="5"/>
  <c r="S16" i="5"/>
  <c r="S18" i="5"/>
  <c r="S13" i="5"/>
  <c r="S9" i="5"/>
  <c r="S23" i="5"/>
  <c r="S10" i="5"/>
  <c r="S19" i="5"/>
  <c r="S24" i="5"/>
  <c r="G64" i="6" a="1"/>
  <c r="S20" i="5"/>
  <c r="S6" i="5"/>
  <c r="S15" i="5"/>
  <c r="S5" i="5"/>
  <c r="S21" i="5"/>
  <c r="S11" i="5"/>
  <c r="S12" i="5"/>
  <c r="G65" i="6" l="1"/>
  <c r="B41" i="4"/>
  <c r="B53" i="4" s="1"/>
  <c r="A37" i="6" s="1"/>
  <c r="G66" i="6"/>
  <c r="G68" i="6"/>
  <c r="H67" i="6"/>
  <c r="D67" i="6" s="1"/>
  <c r="D74" i="4"/>
  <c r="D49" i="4"/>
  <c r="D31" i="4"/>
  <c r="B32" i="4"/>
  <c r="A19" i="6" s="1"/>
  <c r="B70" i="4"/>
  <c r="A51" i="6" s="1"/>
  <c r="A26" i="6"/>
  <c r="C21" i="6"/>
  <c r="B64" i="4"/>
  <c r="A46" i="6" s="1"/>
  <c r="B58" i="4"/>
  <c r="A41" i="6" s="1"/>
  <c r="H25" i="6"/>
  <c r="B50" i="6"/>
  <c r="G50" i="6" s="1"/>
  <c r="B40" i="6"/>
  <c r="G40" i="6" s="1"/>
  <c r="F25" i="6"/>
  <c r="H20" i="6"/>
  <c r="D20" i="6" s="1"/>
  <c r="B45" i="6"/>
  <c r="G45" i="6" s="1"/>
  <c r="D61" i="4"/>
  <c r="B22" i="6"/>
  <c r="B37" i="6" s="1"/>
  <c r="G37" i="6" s="1"/>
  <c r="B47" i="6"/>
  <c r="G47" i="6" s="1"/>
  <c r="G17" i="6"/>
  <c r="H17" i="6" s="1"/>
  <c r="F22" i="6"/>
  <c r="C17" i="6"/>
  <c r="K67" i="6"/>
  <c r="D16" i="6"/>
  <c r="C26" i="6"/>
  <c r="C16" i="6"/>
  <c r="C31" i="6"/>
  <c r="B34" i="4"/>
  <c r="A21" i="6" s="1"/>
  <c r="D37" i="4"/>
  <c r="C46" i="6"/>
  <c r="A17" i="6"/>
  <c r="C36" i="6"/>
  <c r="C51" i="6"/>
  <c r="C41" i="6"/>
  <c r="D55" i="4"/>
  <c r="C20" i="6"/>
  <c r="D25" i="6"/>
  <c r="C25" i="6"/>
  <c r="C15" i="6"/>
  <c r="B89" i="4"/>
  <c r="A63" i="6" s="1"/>
  <c r="B81" i="4"/>
  <c r="A58" i="6" s="1"/>
  <c r="B67" i="4"/>
  <c r="A48" i="6" s="1"/>
  <c r="B77" i="4"/>
  <c r="A55" i="6" s="1"/>
  <c r="B37" i="4"/>
  <c r="A23" i="6" s="1"/>
  <c r="B55" i="4"/>
  <c r="A38" i="6" s="1"/>
  <c r="B79" i="4"/>
  <c r="A57" i="6" s="1"/>
  <c r="B75" i="4"/>
  <c r="A54" i="6" s="1"/>
  <c r="B61" i="4"/>
  <c r="A43" i="6" s="1"/>
  <c r="B49" i="4"/>
  <c r="A33" i="6" s="1"/>
  <c r="B85" i="4"/>
  <c r="A60" i="6" s="1"/>
  <c r="B31" i="4"/>
  <c r="A18" i="6" s="1"/>
  <c r="B87" i="4"/>
  <c r="A62" i="6" s="1"/>
  <c r="B83" i="4"/>
  <c r="A59" i="6" s="1"/>
  <c r="B43" i="4"/>
  <c r="A28" i="6" s="1"/>
  <c r="D14" i="6"/>
  <c r="C14" i="6"/>
  <c r="B19" i="6"/>
  <c r="B34" i="6" s="1"/>
  <c r="G34" i="6" s="1"/>
  <c r="F19" i="6"/>
  <c r="F24" i="6"/>
  <c r="B24" i="6"/>
  <c r="G24" i="6" s="1"/>
  <c r="C12" i="6"/>
  <c r="C10" i="6"/>
  <c r="C9" i="6"/>
  <c r="C11" i="6"/>
  <c r="B51" i="4"/>
  <c r="A35" i="6" s="1"/>
  <c r="C8" i="6"/>
  <c r="C7" i="6"/>
  <c r="B59" i="4"/>
  <c r="A42" i="6" s="1"/>
  <c r="B57" i="4"/>
  <c r="A40" i="6" s="1"/>
  <c r="B33" i="4"/>
  <c r="A20" i="6" s="1"/>
  <c r="B63" i="4"/>
  <c r="A45" i="6" s="1"/>
  <c r="C5" i="6"/>
  <c r="B65" i="4"/>
  <c r="A47" i="6" s="1"/>
  <c r="A25" i="6"/>
  <c r="G74" i="4"/>
  <c r="C6" i="6"/>
  <c r="G55" i="4"/>
  <c r="D67" i="4"/>
  <c r="G49" i="4"/>
  <c r="C4" i="6"/>
  <c r="B68" i="4"/>
  <c r="A49" i="6" s="1"/>
  <c r="A24" i="6"/>
  <c r="G43" i="4"/>
  <c r="B56" i="4"/>
  <c r="A39" i="6" s="1"/>
  <c r="G31" i="4"/>
  <c r="E4" i="5"/>
  <c r="B50" i="4"/>
  <c r="A34" i="6" s="1"/>
  <c r="G61" i="4"/>
  <c r="D4" i="5"/>
  <c r="C4" i="5"/>
  <c r="G69" i="6" s="1" a="1"/>
  <c r="G69" i="6" s="1"/>
  <c r="G64" i="6"/>
  <c r="G67" i="4"/>
  <c r="T17" i="5"/>
  <c r="T21" i="5"/>
  <c r="T23" i="5"/>
  <c r="T12" i="5"/>
  <c r="T9" i="5"/>
  <c r="T15" i="5"/>
  <c r="T5" i="5"/>
  <c r="T16" i="5"/>
  <c r="T10" i="5"/>
  <c r="T24" i="5"/>
  <c r="T22" i="5"/>
  <c r="T19" i="5"/>
  <c r="T20" i="5"/>
  <c r="T11" i="5"/>
  <c r="T18" i="5"/>
  <c r="T8" i="5"/>
  <c r="T13" i="5"/>
  <c r="T14" i="5"/>
  <c r="T7" i="5"/>
  <c r="T6" i="5"/>
  <c r="A27" i="6" l="1"/>
  <c r="B71" i="4"/>
  <c r="A52" i="6" s="1"/>
  <c r="C67" i="6"/>
  <c r="F35" i="6"/>
  <c r="H35" i="6" s="1"/>
  <c r="F40" i="6"/>
  <c r="H40" i="6" s="1"/>
  <c r="F45" i="6"/>
  <c r="H45" i="6" s="1"/>
  <c r="F66" i="6"/>
  <c r="H66" i="6" s="1"/>
  <c r="F50" i="6"/>
  <c r="H50" i="6" s="1"/>
  <c r="F30" i="6"/>
  <c r="H30" i="6" s="1"/>
  <c r="K66" i="6"/>
  <c r="H22" i="6"/>
  <c r="K68" i="6"/>
  <c r="D17" i="6"/>
  <c r="B27" i="6"/>
  <c r="G27" i="6" s="1"/>
  <c r="B52" i="6"/>
  <c r="G52" i="6" s="1"/>
  <c r="G22" i="6"/>
  <c r="B32" i="6"/>
  <c r="G32" i="6" s="1"/>
  <c r="B42" i="6"/>
  <c r="G42" i="6" s="1"/>
  <c r="F27" i="6"/>
  <c r="F54" i="6"/>
  <c r="F44" i="6"/>
  <c r="H44" i="6" s="1"/>
  <c r="F65" i="6"/>
  <c r="H24" i="6"/>
  <c r="F49" i="6"/>
  <c r="H49" i="6" s="1"/>
  <c r="F29" i="6"/>
  <c r="F34" i="6"/>
  <c r="H34" i="6" s="1"/>
  <c r="F39" i="6"/>
  <c r="G19" i="6"/>
  <c r="H19" i="6" s="1"/>
  <c r="B29" i="6"/>
  <c r="G29" i="6" s="1"/>
  <c r="B39" i="6"/>
  <c r="G39" i="6" s="1"/>
  <c r="B44" i="6"/>
  <c r="G44" i="6" s="1"/>
  <c r="B49" i="6"/>
  <c r="G49" i="6" s="1"/>
  <c r="F69" i="6"/>
  <c r="H69" i="6" s="1"/>
  <c r="H64" i="6"/>
  <c r="B64" i="6"/>
  <c r="D45" i="6" l="1"/>
  <c r="C45" i="6"/>
  <c r="D66" i="6"/>
  <c r="C66" i="6"/>
  <c r="D40" i="6"/>
  <c r="C40" i="6"/>
  <c r="D30" i="6"/>
  <c r="C30" i="6"/>
  <c r="D35" i="6"/>
  <c r="C35" i="6"/>
  <c r="D50" i="6"/>
  <c r="C50" i="6"/>
  <c r="F32" i="6"/>
  <c r="H32" i="6" s="1"/>
  <c r="F52" i="6"/>
  <c r="H52" i="6" s="1"/>
  <c r="F42" i="6"/>
  <c r="H42" i="6" s="1"/>
  <c r="H27" i="6"/>
  <c r="F47" i="6"/>
  <c r="H47" i="6" s="1"/>
  <c r="F68" i="6"/>
  <c r="H68" i="6" s="1"/>
  <c r="F37" i="6"/>
  <c r="H37" i="6" s="1"/>
  <c r="D22" i="6"/>
  <c r="C22" i="6"/>
  <c r="D19" i="6"/>
  <c r="C19" i="6"/>
  <c r="K65" i="6"/>
  <c r="H65" i="6"/>
  <c r="C2" i="6"/>
  <c r="B2" i="6"/>
  <c r="H39" i="6"/>
  <c r="D44" i="6"/>
  <c r="C44" i="6"/>
  <c r="D34" i="6"/>
  <c r="C34" i="6"/>
  <c r="H29" i="6"/>
  <c r="D49" i="6"/>
  <c r="C49" i="6"/>
  <c r="D24" i="6"/>
  <c r="C24" i="6"/>
  <c r="F60" i="6"/>
  <c r="H60" i="6" s="1"/>
  <c r="F55" i="6"/>
  <c r="H54" i="6"/>
  <c r="F62" i="6"/>
  <c r="H62" i="6" s="1"/>
  <c r="F63" i="6"/>
  <c r="H63" i="6" s="1"/>
  <c r="F57" i="6"/>
  <c r="H57" i="6" s="1"/>
  <c r="F58" i="6"/>
  <c r="H58" i="6" s="1"/>
  <c r="F59" i="6"/>
  <c r="H59" i="6" s="1"/>
  <c r="C69" i="6"/>
  <c r="D64" i="6"/>
  <c r="C64" i="6"/>
  <c r="D47" i="6" l="1"/>
  <c r="C47" i="6"/>
  <c r="D68" i="6"/>
  <c r="C68" i="6"/>
  <c r="D27" i="6"/>
  <c r="C27" i="6"/>
  <c r="D42" i="6"/>
  <c r="C42" i="6"/>
  <c r="D52" i="6"/>
  <c r="C52" i="6"/>
  <c r="D37" i="6"/>
  <c r="C37" i="6"/>
  <c r="D32" i="6"/>
  <c r="C32" i="6"/>
  <c r="D58" i="6"/>
  <c r="C58" i="6"/>
  <c r="D60" i="6"/>
  <c r="C60" i="6"/>
  <c r="D57" i="6"/>
  <c r="C57" i="6"/>
  <c r="D65" i="6"/>
  <c r="C65" i="6"/>
  <c r="C63" i="6"/>
  <c r="D63" i="6"/>
  <c r="D62" i="6"/>
  <c r="C62" i="6"/>
  <c r="D54" i="6"/>
  <c r="C54" i="6"/>
  <c r="C39" i="6"/>
  <c r="D39" i="6"/>
  <c r="D59" i="6"/>
  <c r="C59" i="6"/>
  <c r="H55" i="6"/>
  <c r="F56" i="6"/>
  <c r="H56" i="6" s="1"/>
  <c r="D29" i="6"/>
  <c r="C29"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<sst xmlns="http://schemas.openxmlformats.org/spreadsheetml/2006/main" count="22660" uniqueCount="15875">
  <si>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</si>
  <si>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</si>
  <si>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</si>
  <si>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</si>
  <si>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</si>
  <si>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</si>
  <si>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</si>
  <si>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</si>
  <si>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</si>
  <si>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</si>
  <si>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</si>
  <si>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</si>
  <si>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</si>
  <si>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</si>
  <si>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</si>
  <si>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</si>
  <si>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</si>
  <si>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</si>
  <si>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</si>
  <si>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</si>
  <si>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</si>
  <si>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</si>
  <si>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</si>
  <si>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</si>
  <si>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</si>
  <si>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</si>
  <si>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</si>
  <si>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</si>
  <si>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</si>
  <si>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</si>
  <si>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</si>
  <si>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</si>
  <si>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</si>
  <si>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</si>
  <si>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</si>
  <si>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</si>
  <si>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</si>
  <si>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</si>
  <si>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</si>
  <si>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</si>
  <si>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</si>
  <si>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</si>
  <si>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</si>
  <si>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</si>
  <si>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</si>
  <si>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</si>
  <si>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</si>
  <si>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</si>
  <si>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</si>
  <si>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</si>
  <si>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</si>
  <si>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</si>
  <si>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</si>
  <si>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</si>
  <si>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</si>
  <si>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</si>
  <si>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</si>
  <si>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</si>
  <si>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</si>
  <si>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</si>
  <si>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</si>
  <si>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</si>
  <si>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</si>
  <si>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</si>
  <si>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</si>
  <si>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</si>
  <si>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</si>
  <si>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</si>
  <si>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</si>
  <si>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</si>
  <si>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</si>
  <si>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</si>
  <si>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</si>
  <si>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</si>
  <si>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</si>
  <si>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</si>
  <si>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</si>
  <si>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</si>
  <si>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</si>
  <si>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</si>
  <si>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</si>
  <si>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</si>
  <si>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</si>
  <si>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</si>
  <si>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</si>
  <si>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</si>
  <si>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</si>
  <si>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</si>
  <si>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</si>
  <si>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</si>
  <si>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</si>
  <si>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</si>
  <si>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</si>
  <si>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</si>
  <si>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</si>
  <si>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</si>
  <si>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</si>
  <si>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</si>
  <si>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</si>
  <si>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</si>
  <si>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</si>
  <si>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</si>
  <si>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</si>
  <si>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</si>
  <si>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</si>
  <si>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</si>
  <si>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</si>
  <si>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</si>
  <si>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</si>
  <si>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</si>
  <si>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</si>
  <si>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</si>
  <si>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</si>
  <si>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</si>
  <si>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</si>
  <si>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</si>
  <si>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</si>
  <si>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</si>
  <si>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</si>
  <si>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</si>
  <si>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</si>
  <si>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</si>
  <si>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</si>
  <si>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</si>
  <si>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</si>
  <si>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</si>
  <si>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</si>
  <si>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</si>
  <si>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</si>
  <si>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</si>
  <si>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</si>
  <si>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</si>
  <si>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</si>
  <si>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</si>
  <si>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</si>
  <si>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</si>
  <si>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</si>
  <si>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</si>
  <si>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</si>
  <si>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</si>
  <si>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</si>
  <si>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</si>
  <si>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</si>
  <si>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</si>
  <si>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</si>
  <si>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</si>
  <si>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</si>
  <si>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</si>
  <si>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</si>
  <si>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</si>
  <si>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</si>
  <si>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</si>
  <si>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</si>
  <si>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</si>
  <si>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</si>
  <si>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</si>
  <si>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</si>
  <si>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</si>
  <si>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</si>
  <si>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</si>
  <si>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</si>
  <si>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</si>
  <si>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</si>
  <si>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</si>
  <si>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</si>
  <si>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</si>
  <si>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</si>
  <si>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</si>
  <si>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</si>
  <si>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</si>
  <si>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</si>
  <si>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</si>
  <si>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</si>
  <si>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</si>
  <si>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</si>
  <si>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</si>
  <si>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</si>
  <si>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</si>
  <si>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</si>
  <si>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</si>
  <si>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</si>
  <si>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</si>
  <si>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</si>
  <si>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</si>
  <si>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</si>
  <si>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</si>
  <si>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</si>
  <si>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</si>
  <si>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</si>
  <si>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</si>
  <si>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</si>
  <si>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</si>
  <si>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</si>
  <si>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</si>
  <si>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</si>
  <si>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</si>
  <si>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</si>
  <si>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</si>
  <si>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</si>
  <si>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</si>
  <si>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</si>
  <si>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</si>
  <si>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</si>
  <si>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</si>
  <si>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</si>
  <si>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</si>
  <si>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</si>
  <si>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</si>
  <si>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</si>
  <si>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</si>
  <si>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</si>
  <si>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</si>
  <si>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</si>
  <si>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</si>
  <si>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</si>
  <si>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</si>
  <si>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</si>
  <si>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</si>
  <si>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</si>
  <si>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</si>
  <si>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</si>
  <si>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</si>
  <si>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</si>
  <si>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</si>
  <si>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</si>
  <si>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</si>
  <si>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</si>
  <si>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</si>
  <si>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</si>
  <si>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</si>
  <si>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</si>
  <si>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</si>
  <si>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</si>
  <si>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</si>
  <si>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</si>
  <si>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</si>
  <si>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</si>
  <si>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</si>
  <si>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</si>
  <si>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</si>
  <si>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</si>
  <si>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</si>
  <si>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</si>
  <si>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</si>
  <si>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</si>
  <si>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</si>
  <si>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</si>
  <si>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</si>
  <si>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</si>
  <si>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</si>
  <si>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</si>
  <si>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</si>
  <si>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</si>
  <si>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</si>
  <si>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</si>
  <si>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</si>
  <si>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</si>
  <si>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</si>
  <si>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</si>
  <si>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</si>
  <si>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</si>
  <si>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</si>
  <si>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</si>
  <si>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</si>
  <si>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</si>
  <si>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</si>
  <si>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</si>
  <si>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</si>
  <si>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</si>
  <si>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</si>
  <si>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</si>
  <si>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</si>
  <si>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</si>
  <si>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</si>
  <si>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</si>
  <si>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</si>
  <si>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</si>
  <si>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</si>
  <si>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</si>
  <si>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</si>
  <si>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</si>
  <si>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</si>
  <si>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</si>
  <si>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</si>
  <si>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</si>
  <si>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</si>
  <si>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</si>
  <si>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</si>
  <si>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</si>
  <si>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</si>
  <si>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</si>
  <si>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</si>
  <si>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</si>
  <si>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</si>
  <si>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</si>
  <si>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</si>
  <si>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</si>
  <si>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</si>
  <si>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</si>
  <si>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</si>
  <si>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</si>
  <si>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</si>
  <si>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</si>
  <si>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</si>
  <si>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</si>
  <si>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</si>
  <si>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</si>
  <si>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</si>
  <si>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</si>
  <si>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</si>
  <si>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</si>
  <si>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</si>
  <si>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</si>
  <si>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</si>
  <si>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</si>
  <si>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</si>
  <si>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</si>
  <si>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</si>
  <si>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</si>
  <si>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</si>
  <si>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</si>
  <si>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</si>
  <si>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</si>
  <si>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</si>
  <si>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</si>
  <si>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</si>
  <si>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</si>
  <si>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</si>
  <si>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</si>
  <si>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</si>
  <si>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</si>
  <si>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</si>
  <si>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</si>
  <si>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</si>
  <si>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</si>
  <si>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</si>
  <si>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</si>
  <si>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</si>
  <si>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</si>
  <si>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</si>
  <si>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</si>
  <si>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</si>
  <si>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</si>
  <si>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</si>
  <si>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</si>
  <si>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</si>
  <si>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</si>
  <si>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</si>
  <si>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</si>
  <si>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</si>
  <si>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</si>
  <si>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</si>
  <si>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</si>
  <si>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</si>
  <si>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</si>
  <si>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</si>
  <si>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</si>
  <si>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</si>
  <si>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</si>
  <si>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</si>
  <si>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</si>
  <si>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</si>
  <si>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</si>
  <si>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</si>
  <si>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</si>
  <si>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</si>
  <si>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</si>
  <si>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</si>
  <si>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</si>
  <si>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</si>
  <si>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</si>
  <si>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</si>
  <si>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</si>
  <si>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</si>
  <si>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</si>
  <si>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</si>
  <si>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</si>
  <si>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</si>
  <si>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</si>
  <si>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</si>
  <si>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</si>
  <si>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</si>
  <si>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</si>
  <si>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</si>
  <si>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</si>
  <si>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</si>
  <si>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</si>
  <si>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</si>
  <si>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</si>
  <si>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</si>
  <si>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</si>
  <si>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</si>
  <si>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</si>
  <si>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</si>
  <si>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</si>
  <si>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</si>
  <si>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</si>
  <si>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</si>
  <si>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</si>
  <si>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</si>
  <si>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</si>
  <si>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</si>
  <si>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</si>
  <si>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</si>
  <si>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</si>
  <si>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</si>
  <si>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</si>
  <si>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</si>
  <si>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</si>
  <si>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</si>
  <si>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</si>
  <si>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</si>
  <si>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</si>
  <si>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</si>
  <si>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</si>
  <si>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</si>
  <si>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</si>
  <si>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</si>
  <si>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</si>
  <si>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</si>
  <si>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</si>
  <si>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</si>
  <si>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</si>
  <si>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</si>
  <si>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</si>
  <si>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</si>
  <si>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</si>
  <si>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</si>
  <si>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</si>
  <si>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</si>
  <si>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</si>
  <si>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</si>
  <si>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</si>
  <si>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</si>
  <si>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</si>
  <si>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</si>
  <si>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</si>
  <si>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</si>
  <si>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</si>
  <si>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</si>
  <si>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</si>
  <si>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</si>
  <si>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</si>
  <si>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</si>
  <si>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</si>
  <si>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</si>
  <si>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</si>
  <si>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</si>
  <si>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</si>
  <si>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</si>
  <si>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</si>
  <si>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</si>
  <si>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</si>
  <si>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</si>
  <si>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</si>
  <si>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</si>
  <si>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</si>
  <si>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</si>
  <si>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</si>
  <si>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</si>
  <si>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</si>
  <si>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</si>
  <si>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</si>
  <si>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</si>
  <si>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</si>
  <si>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</si>
  <si>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</si>
  <si>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</si>
  <si>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</si>
  <si>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</si>
  <si>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</si>
  <si>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</si>
  <si>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</si>
  <si>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</si>
  <si>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</si>
  <si>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</si>
  <si>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</si>
  <si>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</si>
  <si>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</si>
  <si>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</si>
  <si>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</si>
  <si>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</si>
  <si>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</si>
  <si>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</si>
  <si>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</si>
  <si>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</si>
  <si>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</si>
  <si>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</si>
  <si>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</si>
  <si>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</si>
  <si>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</si>
  <si>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</si>
  <si>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</si>
  <si>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</si>
  <si>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</si>
  <si>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</si>
  <si>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</si>
  <si>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</si>
  <si>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</si>
  <si>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</si>
  <si>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</si>
  <si>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</si>
  <si>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</si>
  <si>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</si>
  <si>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</si>
  <si>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</si>
  <si>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</si>
  <si>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</si>
  <si>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</si>
  <si>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</si>
  <si>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</si>
  <si>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</si>
  <si>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</si>
  <si>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</si>
  <si>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</si>
  <si>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</si>
  <si>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</si>
  <si>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</si>
  <si>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</si>
  <si>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</si>
  <si>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</si>
  <si>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</si>
  <si>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</si>
  <si>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</si>
  <si>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</si>
  <si>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</si>
  <si>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</si>
  <si>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</si>
  <si>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</si>
  <si>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</si>
  <si>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</si>
  <si>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</si>
  <si>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</si>
  <si>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</si>
  <si>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</si>
  <si>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</si>
  <si>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</si>
  <si>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</si>
  <si>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</si>
  <si>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</si>
  <si>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</si>
  <si>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</si>
  <si>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</si>
  <si>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</si>
  <si>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</si>
  <si>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</si>
  <si>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</si>
  <si>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</si>
  <si>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</si>
  <si>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</si>
  <si>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</si>
  <si>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</si>
  <si>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</si>
  <si>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</si>
  <si>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</si>
  <si>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</si>
  <si>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</si>
  <si>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</si>
  <si>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</si>
  <si>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</si>
  <si>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</si>
  <si>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</si>
  <si>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</si>
  <si>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</si>
  <si>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</si>
  <si>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</si>
  <si>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</si>
  <si>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</si>
  <si>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</si>
  <si>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</si>
  <si>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</si>
  <si>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</si>
  <si>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</si>
  <si>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</si>
  <si>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</si>
  <si>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</si>
  <si>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</si>
  <si>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</si>
  <si>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</si>
  <si>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</si>
  <si>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</si>
  <si>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</si>
  <si>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</si>
  <si>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</si>
  <si>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</si>
  <si>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</si>
  <si>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</si>
  <si>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</si>
  <si>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</si>
  <si>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</si>
  <si>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</si>
  <si>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</si>
  <si>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</si>
  <si>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</si>
  <si>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</si>
  <si>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</si>
  <si>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</si>
  <si>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</si>
  <si>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</si>
  <si>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</si>
  <si>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</si>
  <si>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</si>
  <si>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</si>
  <si>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</si>
  <si>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</si>
  <si>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</si>
  <si>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</si>
  <si>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</si>
  <si>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</si>
  <si>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</si>
  <si>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</si>
  <si>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</si>
  <si>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</si>
  <si>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</si>
  <si>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</si>
  <si>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</si>
  <si>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</si>
  <si>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</si>
  <si>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</si>
  <si>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</si>
  <si>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</si>
  <si>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</si>
  <si>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</si>
  <si>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</si>
  <si>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</si>
  <si>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</si>
  <si>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</si>
  <si>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</si>
  <si>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</si>
  <si>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</si>
  <si>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</si>
  <si>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</si>
  <si>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</si>
  <si>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</si>
  <si>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</si>
  <si>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</si>
  <si>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</si>
  <si>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</si>
  <si>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</si>
  <si>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</si>
  <si>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</si>
  <si>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</si>
  <si>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</si>
  <si>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</si>
  <si>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</si>
  <si>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</si>
  <si>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</si>
  <si>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</si>
  <si>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</si>
  <si>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</si>
  <si>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</si>
  <si>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</si>
  <si>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</si>
  <si>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</si>
  <si>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</si>
  <si>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</si>
  <si>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</si>
  <si>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</si>
  <si>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</si>
  <si>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</si>
  <si>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</si>
  <si>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</si>
  <si>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</si>
  <si>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</si>
  <si>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</si>
  <si>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</si>
  <si>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</si>
  <si>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</si>
  <si>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</si>
  <si>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</si>
  <si>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</si>
  <si>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</si>
  <si>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</si>
  <si>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</si>
  <si>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</si>
  <si>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</si>
  <si>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</si>
  <si>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</si>
  <si>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</si>
  <si>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</si>
  <si>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</si>
  <si>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</si>
  <si>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</si>
  <si>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</si>
  <si>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</si>
  <si>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</si>
  <si>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</si>
  <si>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</si>
  <si>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</si>
  <si>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</si>
  <si>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</si>
  <si>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</si>
  <si>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</si>
  <si>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</si>
  <si>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</si>
  <si>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</si>
  <si>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</si>
  <si>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</si>
  <si>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</si>
  <si>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</si>
  <si>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</si>
  <si>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</si>
  <si>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</si>
  <si>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</si>
  <si>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</si>
  <si>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</si>
  <si>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</si>
  <si>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</si>
  <si>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</si>
  <si>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</si>
  <si>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</si>
  <si>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</si>
  <si>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</si>
  <si>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</si>
  <si>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</si>
  <si>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</si>
  <si>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</si>
  <si>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</si>
  <si>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</si>
  <si>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</si>
  <si>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</si>
  <si>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</si>
  <si>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</si>
  <si>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</si>
  <si>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</si>
  <si>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</si>
  <si>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</si>
  <si>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</si>
  <si>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</si>
  <si>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</si>
  <si>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</si>
  <si>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</si>
  <si>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</si>
  <si>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</si>
  <si>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</si>
  <si>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</si>
  <si>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</si>
  <si>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</si>
  <si>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</si>
  <si>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</si>
  <si>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</si>
  <si>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</si>
  <si>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</si>
  <si>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</si>
  <si>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</si>
  <si>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</si>
  <si>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</si>
  <si>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</si>
  <si>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</si>
  <si>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</si>
  <si>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</si>
  <si>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</si>
  <si>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</si>
  <si>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</si>
  <si>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</si>
  <si>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</si>
  <si>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</si>
  <si>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</si>
  <si>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</si>
  <si>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</si>
  <si>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</si>
  <si>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</si>
  <si>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</si>
  <si>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</si>
  <si>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</si>
  <si>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</si>
  <si>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</si>
  <si>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</si>
  <si>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</si>
  <si>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</si>
  <si>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</si>
  <si>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</si>
  <si>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</si>
  <si>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</si>
  <si>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</si>
  <si>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</si>
  <si>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</si>
  <si>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</si>
  <si>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</si>
  <si>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</si>
  <si>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</si>
  <si>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</si>
  <si>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</si>
  <si>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</si>
  <si>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</si>
  <si>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</si>
  <si>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</si>
  <si>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</si>
  <si>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</si>
  <si>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</si>
  <si>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</si>
  <si>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</si>
  <si>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</si>
  <si>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</si>
  <si>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</si>
  <si>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</si>
  <si>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</si>
  <si>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</si>
  <si>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</si>
  <si>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</si>
  <si>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</si>
  <si>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</si>
  <si>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</si>
  <si>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</si>
  <si>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</si>
  <si>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</si>
  <si>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</si>
  <si>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</si>
  <si>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</si>
  <si>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</si>
  <si>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</si>
  <si>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</si>
  <si>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</si>
  <si>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</si>
  <si>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</si>
  <si>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</si>
  <si>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</si>
  <si>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</si>
  <si>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</si>
  <si>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</si>
  <si>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</si>
  <si>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</si>
  <si>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</si>
  <si>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</si>
  <si>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</si>
  <si>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</si>
  <si>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</si>
  <si>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</si>
  <si>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</si>
  <si>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</si>
  <si>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</si>
  <si>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</si>
  <si>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</si>
  <si>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</si>
  <si>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</si>
  <si>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</si>
  <si>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</si>
  <si>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</si>
  <si>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</si>
  <si>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</si>
  <si>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</si>
  <si>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</si>
  <si>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</si>
  <si>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</si>
  <si>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</si>
  <si>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</si>
  <si>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</si>
  <si>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</si>
  <si>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</si>
  <si>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</si>
  <si>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</si>
  <si>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</si>
  <si>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</si>
  <si>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</si>
  <si>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</si>
  <si>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</si>
  <si>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</si>
  <si>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</si>
  <si>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</si>
  <si>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</si>
  <si>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</si>
  <si>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</si>
  <si>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</si>
  <si>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</si>
  <si>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</si>
  <si>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</si>
  <si>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</si>
  <si>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</si>
  <si>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</si>
  <si>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</si>
  <si>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</si>
  <si>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</si>
  <si>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</si>
  <si>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</si>
  <si>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</si>
  <si>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</si>
  <si>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</si>
  <si>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</si>
  <si>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</si>
  <si>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</si>
  <si>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</si>
  <si>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</si>
  <si>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</si>
  <si>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</si>
  <si>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</si>
  <si>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</si>
  <si>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</si>
  <si>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</si>
  <si>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</si>
  <si>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</si>
  <si>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</si>
  <si>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</si>
  <si>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</si>
  <si>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</si>
  <si>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</si>
  <si>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</si>
  <si>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</si>
  <si>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</si>
  <si>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</si>
  <si>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</si>
  <si>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</si>
  <si>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</si>
  <si>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</si>
  <si>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</si>
  <si>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</si>
  <si>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</si>
  <si>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</si>
  <si>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</si>
  <si>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</si>
  <si>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</si>
  <si>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</si>
  <si>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</si>
  <si>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</si>
  <si>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</si>
  <si>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</si>
  <si>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</si>
  <si>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</si>
  <si>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</si>
  <si>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</si>
  <si>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</si>
  <si>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</si>
  <si>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</si>
  <si>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</si>
  <si>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</si>
  <si>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</si>
  <si>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</si>
  <si>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</si>
  <si>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</si>
  <si>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</si>
  <si>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</si>
  <si>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</si>
  <si>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</si>
  <si>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</si>
  <si>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</si>
  <si>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</si>
  <si>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</si>
  <si>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</si>
  <si>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</si>
  <si>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</si>
  <si>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</si>
  <si>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</si>
  <si>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</si>
  <si>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</si>
  <si>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</si>
  <si>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</si>
  <si>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</si>
  <si>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</si>
  <si>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</si>
  <si>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</si>
  <si>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</si>
  <si>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</si>
  <si>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</si>
  <si>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</si>
  <si>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</si>
  <si>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</si>
  <si>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</si>
  <si>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</si>
  <si>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</si>
  <si>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</si>
  <si>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</si>
  <si>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</si>
  <si>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</si>
  <si>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</si>
  <si>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</si>
  <si>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</si>
  <si>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</si>
  <si>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</si>
  <si>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</si>
  <si>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</si>
  <si>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</si>
  <si>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</si>
  <si>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</si>
  <si>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</si>
  <si>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</si>
  <si>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</si>
  <si>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</si>
  <si>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</si>
  <si>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</si>
  <si>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</si>
  <si>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</si>
  <si>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</si>
  <si>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</si>
  <si>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</si>
  <si>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</si>
  <si>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</si>
  <si>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</si>
  <si>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</si>
  <si>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</si>
  <si>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</si>
  <si>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</si>
  <si>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</si>
  <si>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</si>
  <si>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</si>
  <si>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</si>
  <si>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</si>
  <si>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</si>
  <si>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</si>
  <si>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</si>
  <si>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</si>
  <si>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</si>
  <si>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</si>
  <si>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</si>
  <si>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</si>
  <si>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</si>
  <si>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</si>
  <si>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</si>
  <si>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</si>
  <si>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</si>
  <si>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</si>
  <si>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</si>
  <si>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</si>
  <si>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</si>
  <si>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</si>
  <si>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</si>
  <si>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</si>
  <si>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</si>
  <si>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</si>
  <si>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</si>
  <si>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</si>
  <si>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</si>
  <si>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</si>
  <si>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</si>
  <si>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</si>
  <si>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</si>
  <si>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</si>
  <si>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</si>
  <si>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</si>
  <si>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</si>
  <si>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</si>
  <si>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</si>
  <si>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</si>
  <si>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</si>
  <si>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</si>
  <si>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</si>
  <si>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</si>
  <si>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</si>
  <si>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</si>
  <si>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</si>
  <si>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</si>
  <si>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</si>
  <si>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</si>
  <si>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</si>
  <si>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</si>
  <si>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</si>
  <si>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</si>
  <si>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</si>
  <si>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</si>
  <si>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</si>
  <si>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</si>
  <si>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</si>
  <si>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</si>
  <si>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</si>
  <si>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</si>
  <si>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</si>
  <si>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</si>
  <si>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</si>
  <si>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</si>
  <si>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</si>
  <si>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</si>
  <si>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</si>
  <si>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</si>
  <si>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</si>
  <si>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</si>
  <si>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</si>
  <si>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</si>
  <si>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</si>
  <si>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</si>
  <si>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</si>
  <si>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</si>
  <si>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</si>
  <si>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</si>
  <si>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</si>
  <si>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</si>
  <si>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</si>
  <si>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</si>
  <si>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</si>
  <si>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</si>
  <si>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</si>
  <si>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</si>
  <si>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</si>
  <si>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</si>
  <si>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</si>
  <si>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</si>
  <si>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</si>
  <si>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</si>
  <si>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</si>
  <si>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</si>
  <si>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</si>
  <si>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</si>
  <si>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</si>
  <si>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</si>
  <si>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</si>
  <si>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</si>
  <si>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</si>
  <si>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</si>
  <si>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</si>
  <si>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</si>
  <si>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</si>
  <si>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</si>
  <si>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</si>
  <si>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</si>
  <si>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</si>
  <si>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</si>
  <si>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</si>
  <si>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</si>
  <si>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</si>
  <si>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</si>
  <si>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</si>
  <si>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</si>
  <si>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</si>
  <si>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</si>
  <si>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</si>
  <si>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</si>
  <si>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</si>
  <si>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</si>
  <si>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</si>
  <si>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</si>
  <si>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</si>
  <si>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</si>
  <si>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</si>
  <si>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</si>
  <si>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</si>
  <si>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</si>
  <si>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</si>
  <si>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</si>
  <si>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</si>
  <si>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</si>
  <si>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</si>
  <si>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</si>
  <si>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</si>
  <si>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</si>
  <si>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</si>
  <si>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</si>
  <si>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</si>
  <si>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</si>
  <si>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</si>
  <si>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</si>
  <si>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</si>
  <si>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</si>
  <si>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</si>
  <si>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</si>
  <si>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</si>
  <si>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</si>
  <si>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</si>
  <si>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</si>
  <si>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</si>
  <si>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</si>
  <si>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</si>
  <si>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</si>
  <si>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</si>
  <si>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</si>
  <si>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</si>
  <si>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</si>
  <si>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</si>
  <si>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</si>
  <si>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</si>
  <si>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</si>
  <si>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</si>
  <si>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</si>
  <si>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</si>
  <si>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</si>
  <si>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</si>
  <si>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</si>
  <si>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</si>
  <si>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</si>
  <si>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</si>
  <si>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</si>
  <si>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</si>
  <si>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</si>
  <si>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</si>
  <si>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</si>
  <si>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</si>
  <si>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</si>
  <si>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</si>
  <si>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</si>
  <si>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</si>
  <si>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</si>
  <si>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</si>
  <si>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</si>
  <si>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</si>
  <si>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</si>
  <si>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</si>
  <si>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</si>
  <si>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</si>
  <si>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</si>
  <si>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</si>
  <si>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</si>
  <si>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</si>
  <si>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</si>
  <si>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</si>
  <si>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</si>
  <si>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</si>
  <si>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</si>
  <si>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</si>
  <si>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</si>
  <si>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</si>
  <si>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</si>
  <si>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</si>
  <si>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</si>
  <si>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</si>
  <si>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</si>
  <si>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</si>
  <si>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</si>
  <si>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</si>
  <si>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</si>
  <si>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</si>
  <si>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</si>
  <si>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</si>
  <si>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</si>
  <si>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</si>
  <si>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</si>
  <si>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</si>
  <si>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</si>
  <si>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</si>
  <si>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</si>
  <si>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</si>
  <si>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</si>
  <si>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</si>
  <si>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</si>
  <si>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</si>
  <si>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</si>
  <si>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</si>
  <si>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</si>
  <si>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</si>
  <si>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</si>
  <si>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</si>
  <si>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</si>
  <si>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</si>
  <si>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</si>
  <si>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</si>
  <si>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</si>
  <si>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</si>
  <si>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</si>
  <si>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</si>
  <si>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</si>
  <si>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</si>
  <si>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</si>
  <si>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</si>
  <si>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</si>
  <si>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</si>
  <si>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</si>
  <si>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</si>
  <si>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</si>
  <si>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</si>
  <si>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</si>
  <si>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</si>
  <si>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</si>
  <si>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</si>
  <si>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</si>
  <si>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</si>
  <si>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</si>
  <si>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</si>
  <si>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</si>
  <si>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</si>
  <si>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</si>
  <si>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</si>
  <si>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</si>
  <si>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</si>
  <si>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</si>
  <si>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</si>
  <si>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</si>
  <si>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</si>
  <si>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</si>
  <si>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</si>
  <si>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</si>
  <si>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</si>
  <si>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</si>
  <si>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</si>
  <si>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</si>
  <si>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</si>
  <si>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</si>
  <si>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</si>
  <si>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</si>
  <si>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</si>
  <si>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</si>
  <si>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</si>
  <si>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</si>
  <si>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</si>
  <si>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</si>
  <si>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</si>
  <si>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</si>
  <si>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</si>
  <si>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</si>
  <si>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</si>
  <si>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</si>
  <si>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</si>
  <si>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</si>
  <si>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</si>
  <si>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</si>
  <si>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</si>
  <si>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</si>
  <si>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</si>
  <si>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</si>
  <si>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</si>
  <si>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</si>
  <si>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</si>
  <si>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</si>
  <si>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</si>
  <si>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</si>
  <si>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</si>
  <si>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</si>
  <si>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</si>
  <si>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</si>
  <si>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</si>
  <si>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</si>
  <si>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</si>
  <si>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</si>
  <si>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</si>
  <si>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</si>
  <si>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</si>
  <si>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</si>
  <si>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</si>
  <si>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</si>
  <si>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</si>
  <si>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</si>
  <si>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</si>
  <si>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</si>
  <si>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</si>
  <si>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</si>
  <si>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</si>
  <si>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</si>
  <si>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</si>
  <si>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</si>
  <si>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</si>
  <si>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</si>
  <si>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</si>
  <si>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</si>
  <si>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</si>
  <si>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</si>
  <si>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</si>
  <si>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</si>
  <si>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</si>
  <si>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</si>
  <si>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</si>
  <si>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</si>
  <si>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</si>
  <si>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</si>
  <si>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</si>
  <si>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</si>
  <si>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</si>
  <si>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</si>
  <si>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</si>
  <si>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</si>
  <si>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</si>
  <si>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</si>
  <si>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</si>
  <si>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</si>
  <si>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</si>
  <si>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</si>
  <si>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</si>
  <si>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</si>
  <si>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</si>
  <si>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</si>
  <si>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</si>
  <si>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</si>
  <si>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</si>
  <si>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</si>
  <si>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</si>
  <si>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</si>
  <si>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</si>
  <si>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</si>
  <si>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</si>
  <si>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</si>
  <si>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</si>
  <si>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</si>
  <si>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</si>
  <si>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</si>
  <si>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</si>
  <si>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</si>
  <si>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</si>
  <si>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</si>
  <si>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</si>
  <si>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</si>
  <si>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</si>
  <si>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</si>
  <si>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</si>
  <si>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</si>
  <si>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</si>
  <si>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</si>
  <si>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</si>
  <si>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</si>
  <si>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</si>
  <si>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</si>
  <si>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</si>
  <si>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</si>
  <si>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</si>
  <si>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</si>
  <si>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</si>
  <si>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</si>
  <si>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</si>
  <si>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</si>
  <si>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</si>
  <si>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</si>
  <si>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</si>
  <si>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</si>
  <si>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</si>
  <si>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</si>
  <si>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</si>
  <si>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</si>
  <si>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</si>
  <si>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</si>
  <si>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</si>
  <si>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</si>
  <si>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</si>
  <si>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</si>
  <si>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</si>
  <si>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</si>
  <si>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</si>
  <si>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</si>
  <si>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</si>
  <si>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</si>
  <si>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</si>
  <si>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</si>
  <si>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</si>
  <si>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</si>
  <si>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</si>
  <si>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</si>
  <si>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</si>
  <si>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</si>
  <si>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</si>
  <si>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</si>
  <si>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</si>
  <si>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</si>
  <si>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</si>
  <si>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</si>
  <si>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</si>
  <si>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</si>
  <si>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</si>
  <si>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</si>
  <si>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</si>
  <si>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</si>
  <si>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</si>
  <si>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</si>
  <si>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</si>
  <si>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</si>
  <si>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</si>
  <si>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</si>
  <si>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</si>
  <si>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</si>
  <si>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</si>
  <si>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</si>
  <si>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</si>
  <si>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</si>
  <si>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</si>
  <si>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</si>
  <si>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</si>
  <si>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</si>
  <si>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</si>
  <si>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</si>
  <si>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</si>
  <si>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</si>
  <si>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</si>
  <si>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</si>
  <si>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</si>
  <si>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</si>
  <si>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</si>
  <si>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</si>
  <si>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</si>
  <si>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</si>
  <si>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</si>
  <si>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</si>
  <si>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</si>
  <si>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</si>
  <si>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</si>
  <si>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</si>
  <si>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</si>
  <si>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</si>
  <si>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</si>
  <si>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</si>
  <si>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</si>
  <si>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</si>
  <si>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</si>
  <si>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</si>
  <si>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</si>
  <si>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</si>
  <si>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</si>
  <si>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</si>
  <si>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</si>
  <si>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</si>
  <si>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</si>
  <si>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</si>
  <si>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</si>
  <si>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</si>
  <si>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</si>
  <si>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</si>
  <si>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</si>
  <si>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</si>
  <si>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</si>
  <si>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</si>
  <si>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</si>
  <si>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</si>
  <si>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</si>
  <si>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</si>
  <si>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</si>
  <si>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</si>
  <si>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</si>
  <si>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</si>
  <si>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</si>
  <si>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</si>
  <si>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</si>
  <si>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</si>
  <si>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</si>
  <si>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</si>
  <si>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</si>
  <si>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</si>
  <si>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</si>
  <si>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</si>
  <si>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</si>
  <si>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</si>
  <si>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</si>
  <si>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</si>
  <si>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</si>
  <si>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</si>
  <si>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</si>
  <si>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</si>
  <si>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</si>
  <si>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</si>
  <si>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</si>
  <si>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</si>
  <si>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</si>
  <si>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</si>
  <si>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</si>
  <si>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</si>
  <si>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</si>
  <si>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</si>
  <si>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</si>
  <si>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</si>
  <si>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</si>
  <si>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</si>
  <si>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</si>
  <si>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</si>
  <si>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</si>
  <si>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</si>
  <si>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</si>
  <si>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</si>
  <si>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</si>
  <si>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</si>
  <si>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</si>
  <si>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</si>
  <si>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</si>
  <si>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</si>
  <si>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</si>
  <si>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</si>
  <si>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</si>
  <si>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</si>
  <si>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</si>
  <si>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</si>
  <si>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</si>
  <si>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</si>
  <si>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</si>
  <si>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</si>
  <si>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</si>
  <si>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</si>
  <si>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</si>
  <si>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</si>
  <si>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</si>
  <si>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</si>
  <si>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</si>
  <si>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</si>
  <si>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</si>
  <si>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</si>
  <si>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</si>
  <si>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</si>
  <si>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</si>
  <si>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</si>
  <si>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</si>
  <si>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</si>
  <si>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</si>
  <si>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</si>
  <si>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</si>
  <si>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</si>
  <si>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</si>
  <si>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</si>
  <si>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</si>
  <si>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</si>
  <si>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</si>
  <si>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</si>
  <si>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</si>
  <si>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</si>
  <si>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</si>
  <si>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</si>
  <si>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</si>
  <si>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</si>
  <si>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</si>
  <si>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</si>
  <si>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</si>
  <si>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</si>
  <si>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</si>
  <si>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</si>
  <si>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</si>
  <si>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</si>
  <si>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</si>
  <si>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</si>
  <si>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</si>
  <si>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</si>
  <si>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</si>
  <si>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</si>
  <si>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</si>
  <si>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</si>
  <si>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</si>
  <si>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</si>
  <si>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</si>
  <si>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</si>
  <si>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</si>
  <si>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</si>
  <si>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</si>
  <si>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</si>
  <si>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</si>
  <si>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</si>
  <si>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</si>
  <si>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</si>
  <si>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</si>
  <si>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</si>
  <si>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</si>
  <si>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</si>
  <si>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</si>
  <si>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</si>
  <si>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</si>
  <si>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</si>
  <si>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</si>
  <si>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</si>
  <si>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</si>
  <si>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</si>
  <si>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</si>
  <si>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</si>
  <si>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</si>
  <si>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</si>
  <si>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</si>
  <si>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</si>
  <si>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</si>
  <si>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</si>
  <si>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</si>
  <si>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</si>
  <si>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</si>
  <si>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</si>
  <si>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</si>
  <si>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</si>
  <si>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</si>
  <si>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</si>
  <si>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</si>
  <si>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</si>
  <si>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</si>
  <si>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</si>
  <si>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</si>
  <si>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</si>
  <si>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</si>
  <si>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</si>
  <si>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</si>
  <si>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</si>
  <si>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</si>
  <si>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</si>
  <si>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</si>
  <si>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</si>
  <si>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</si>
  <si>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</si>
  <si>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</si>
  <si>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</si>
  <si>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</si>
  <si>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</si>
  <si>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</si>
  <si>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</si>
  <si>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</si>
  <si>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</si>
  <si>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</si>
  <si>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</si>
  <si>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</si>
  <si>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</si>
  <si>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</si>
  <si>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</si>
  <si>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</si>
  <si>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</si>
  <si>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</si>
  <si>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</si>
  <si>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</si>
  <si>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</si>
  <si>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</si>
  <si>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</si>
  <si>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</si>
  <si>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</si>
  <si>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</si>
  <si>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</si>
  <si>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</si>
  <si>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</si>
  <si>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</si>
  <si>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</si>
  <si>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</si>
  <si>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</si>
  <si>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</si>
  <si>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</si>
  <si>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</si>
  <si>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</si>
  <si>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</si>
  <si>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</si>
  <si>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</si>
  <si>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</si>
  <si>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</si>
  <si>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</si>
  <si>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</si>
  <si>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</si>
  <si>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</si>
  <si>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</si>
  <si>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</si>
  <si>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</si>
  <si>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</si>
  <si>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</si>
  <si>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</si>
  <si>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</si>
  <si>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</si>
  <si>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</si>
  <si>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</si>
  <si>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</si>
  <si>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</si>
  <si>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</si>
  <si>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</si>
  <si>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</si>
  <si>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</si>
  <si>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</si>
  <si>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</si>
  <si>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</si>
  <si>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</si>
  <si>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</si>
  <si>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</si>
  <si>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</si>
  <si>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</si>
  <si>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</si>
  <si>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</si>
  <si>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</si>
  <si>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</si>
  <si>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</si>
  <si>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</si>
  <si>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</si>
  <si>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</si>
  <si>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</si>
  <si>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</si>
  <si>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</si>
  <si>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</si>
  <si>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</si>
  <si>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</si>
  <si>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</si>
  <si>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</si>
  <si>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</si>
  <si>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</si>
  <si>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</si>
  <si>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</si>
  <si>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</si>
  <si>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</si>
  <si>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</si>
  <si>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</si>
  <si>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</si>
  <si>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</si>
  <si>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</si>
  <si>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</si>
  <si>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</si>
  <si>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</si>
  <si>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</si>
  <si>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</si>
  <si>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</si>
  <si>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</si>
  <si>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</si>
  <si>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</si>
  <si>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</si>
  <si>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</si>
  <si>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</si>
  <si>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</si>
  <si>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</si>
  <si>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</si>
  <si>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</si>
  <si>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</si>
  <si>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</si>
  <si>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</si>
  <si>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</si>
  <si>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</si>
  <si>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</si>
  <si>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</si>
  <si>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</si>
  <si>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</si>
  <si>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</si>
  <si>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</si>
  <si>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</si>
  <si>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</si>
  <si>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</si>
  <si>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</si>
  <si>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</si>
  <si>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</si>
  <si>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</si>
  <si>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</si>
  <si>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</si>
  <si>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</si>
  <si>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</si>
  <si>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</si>
  <si>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</si>
  <si>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</si>
  <si>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</si>
  <si>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</si>
  <si>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</si>
  <si>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</si>
  <si>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</si>
  <si>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</si>
  <si>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</si>
  <si>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</si>
  <si>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</si>
  <si>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</si>
  <si>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</si>
  <si>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</si>
  <si>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</si>
  <si>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</si>
  <si>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</si>
  <si>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</si>
  <si>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</si>
  <si>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</si>
  <si>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</si>
  <si>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</si>
  <si>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</si>
  <si>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</si>
  <si>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</si>
  <si>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</si>
  <si>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</si>
  <si>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</si>
  <si>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</si>
  <si>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</si>
  <si>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</si>
  <si>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</si>
  <si>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</si>
  <si>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</si>
  <si>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</si>
  <si>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</si>
  <si>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</si>
  <si>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</si>
  <si>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</si>
  <si>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</si>
  <si>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</si>
  <si>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</si>
  <si>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</si>
  <si>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</si>
  <si>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</si>
  <si>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</si>
  <si>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</si>
  <si>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</si>
  <si>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</si>
  <si>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</si>
  <si>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</si>
  <si>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</si>
  <si>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</si>
  <si>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</si>
  <si>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</si>
  <si>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</si>
  <si>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</si>
  <si>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</si>
  <si>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</si>
  <si>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</si>
  <si>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</si>
  <si>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</si>
  <si>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</si>
  <si>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</si>
  <si>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</si>
  <si>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</si>
  <si>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</si>
  <si>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</si>
  <si>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</si>
  <si>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</si>
  <si>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</si>
  <si>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</si>
  <si>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</si>
  <si>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</si>
  <si>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</si>
  <si>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</si>
  <si>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</si>
  <si>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</si>
  <si>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</si>
  <si>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</si>
  <si>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</si>
  <si>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</si>
  <si>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</si>
  <si>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</si>
  <si>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</si>
  <si>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</si>
  <si>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</si>
  <si>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</si>
  <si>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</si>
  <si>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</si>
  <si>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</si>
  <si>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</si>
  <si>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</si>
  <si>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</si>
  <si>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</si>
  <si>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</si>
  <si>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</si>
  <si>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</si>
  <si>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</si>
  <si>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</si>
  <si>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</si>
  <si>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</si>
  <si>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</si>
  <si>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</si>
  <si>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</si>
  <si>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</si>
  <si>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</si>
  <si>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</si>
  <si>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</si>
  <si>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</si>
  <si>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</si>
  <si>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</si>
  <si>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</si>
  <si>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</si>
  <si>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</si>
  <si>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</si>
  <si>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</si>
  <si>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</si>
  <si>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</si>
  <si>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</si>
  <si>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</si>
  <si>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</si>
  <si>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</si>
  <si>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</si>
  <si>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</si>
  <si>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</si>
  <si>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</si>
  <si>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</si>
  <si>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</si>
  <si>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</si>
  <si>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</si>
  <si>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</si>
  <si>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</si>
  <si>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</si>
  <si>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</si>
  <si>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</si>
  <si>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</si>
  <si>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</si>
  <si>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</si>
  <si>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</si>
  <si>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</si>
  <si>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</si>
  <si>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</si>
  <si>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</si>
  <si>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</si>
  <si>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</si>
  <si>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</si>
  <si>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</si>
  <si>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</si>
  <si>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</si>
  <si>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</si>
  <si>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</si>
  <si>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</si>
  <si>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</si>
  <si>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</si>
  <si>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</si>
  <si>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</si>
  <si>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</si>
  <si>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</si>
  <si>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</si>
  <si>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</si>
  <si>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</si>
  <si>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</si>
  <si>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</si>
  <si>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</si>
  <si>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</si>
  <si>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</si>
  <si>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</si>
  <si>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</si>
  <si>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</si>
  <si>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</si>
  <si>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</si>
  <si>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</si>
  <si>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</si>
  <si>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</si>
  <si>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</si>
  <si>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</si>
  <si>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</si>
  <si>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</si>
  <si>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</si>
  <si>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</si>
  <si>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</si>
  <si>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</si>
  <si>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</si>
  <si>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</si>
  <si>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</si>
  <si>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</si>
  <si>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</si>
  <si>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</si>
  <si>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</si>
  <si>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</si>
  <si>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</si>
  <si>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</si>
  <si>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</si>
  <si>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</si>
  <si>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</si>
  <si>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</si>
  <si>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</si>
  <si>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</si>
  <si>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</si>
  <si>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</si>
  <si>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</si>
  <si>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</si>
  <si>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</si>
  <si>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</si>
  <si>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</si>
  <si>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</si>
  <si>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</si>
  <si>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</si>
  <si>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</si>
  <si>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</si>
  <si>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</si>
  <si>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</si>
  <si>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</si>
  <si>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</si>
  <si>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</si>
  <si>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</si>
  <si>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</si>
  <si>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</si>
  <si>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</si>
  <si>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</si>
  <si>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</si>
  <si>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</si>
  <si>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</si>
  <si>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</si>
  <si>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</si>
  <si>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</si>
  <si>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</si>
  <si>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</si>
  <si>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</si>
  <si>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</si>
  <si>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</si>
  <si>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</si>
  <si>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</si>
  <si>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</si>
  <si>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</si>
  <si>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</si>
  <si>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</si>
  <si>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</si>
  <si>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</si>
  <si>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</si>
  <si>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</si>
  <si>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</si>
  <si>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</si>
  <si>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</si>
  <si>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</si>
  <si>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</si>
  <si>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</si>
  <si>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</si>
  <si>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</si>
  <si>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</si>
  <si>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</si>
  <si>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</si>
  <si>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</si>
  <si>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</si>
  <si>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</si>
  <si>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</si>
  <si>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</si>
  <si>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</si>
  <si>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</si>
  <si>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</si>
  <si>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</si>
  <si>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</si>
  <si>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</si>
  <si>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</si>
  <si>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</si>
  <si>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</si>
  <si>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</si>
  <si>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</si>
  <si>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</si>
  <si>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</si>
  <si>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</si>
  <si>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</si>
  <si>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</si>
  <si>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</si>
  <si>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</si>
  <si>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</si>
  <si>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</si>
  <si>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</si>
  <si>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</si>
  <si>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</si>
  <si>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</si>
  <si>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</si>
  <si>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</si>
  <si>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</si>
  <si>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</si>
  <si>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</si>
  <si>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</si>
  <si>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</si>
  <si>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</si>
  <si>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</si>
  <si>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</si>
  <si>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</si>
  <si>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</si>
  <si>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</si>
  <si>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</si>
  <si>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</si>
  <si>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</si>
  <si>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</si>
  <si>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</si>
  <si>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</si>
  <si>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</si>
  <si>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</si>
  <si>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</si>
  <si>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</si>
  <si>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</si>
  <si>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</si>
  <si>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</si>
  <si>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</si>
  <si>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</si>
  <si>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</si>
  <si>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</si>
  <si>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</si>
  <si>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</si>
  <si>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</si>
  <si>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</si>
  <si>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</si>
  <si>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</si>
  <si>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</si>
  <si>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</si>
  <si>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</si>
  <si>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</si>
  <si>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</si>
  <si>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</si>
  <si>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</si>
  <si>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</si>
  <si>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</si>
  <si>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</si>
  <si>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</si>
  <si>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</si>
  <si>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</si>
  <si>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</si>
  <si>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</si>
  <si>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</si>
  <si>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</si>
  <si>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</si>
  <si>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</si>
  <si>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</si>
  <si>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</si>
  <si>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</si>
  <si>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</si>
  <si>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</si>
  <si>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</si>
  <si>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</si>
  <si>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</si>
  <si>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</si>
  <si>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</si>
  <si>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</si>
  <si>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</si>
  <si>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</si>
  <si>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</si>
  <si>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</si>
  <si>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</si>
  <si>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</si>
  <si>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</si>
  <si>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</si>
  <si>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</si>
  <si>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</si>
  <si>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</si>
  <si>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</si>
  <si>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</si>
  <si>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</si>
  <si>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</si>
  <si>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</si>
  <si>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</si>
  <si>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</si>
  <si>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</si>
  <si>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</si>
  <si>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</si>
  <si>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</si>
  <si>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</si>
  <si>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</si>
  <si>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</si>
  <si>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</si>
  <si>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</si>
  <si>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</si>
  <si>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</si>
  <si>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</si>
  <si>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</si>
  <si>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</si>
  <si>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</si>
  <si>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</si>
  <si>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</si>
  <si>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</si>
  <si>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</si>
  <si>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</si>
  <si>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</si>
  <si>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</si>
  <si>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</si>
  <si>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</si>
  <si>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</si>
  <si>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</si>
  <si>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</si>
  <si>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</si>
  <si>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</si>
  <si>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</si>
  <si>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</si>
  <si>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</si>
  <si>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</si>
  <si>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</si>
  <si>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</si>
  <si>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</si>
  <si>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</si>
  <si>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</si>
  <si>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</si>
  <si>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</si>
  <si>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</si>
  <si>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</si>
  <si>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</si>
  <si>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</si>
  <si>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</si>
  <si>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</si>
  <si>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</si>
  <si>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</si>
  <si>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</si>
  <si>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</si>
  <si>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</si>
  <si>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</si>
  <si>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</si>
  <si>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</si>
  <si>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</si>
  <si>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</si>
  <si>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</si>
  <si>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</si>
  <si>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</si>
  <si>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</si>
  <si>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</si>
  <si>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</si>
  <si>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</si>
  <si>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</si>
  <si>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</si>
  <si>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</si>
  <si>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</si>
  <si>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</si>
  <si>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</si>
  <si>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</si>
  <si>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</si>
  <si>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</si>
  <si>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</si>
  <si>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</si>
  <si>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</si>
  <si>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</si>
  <si>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</si>
  <si>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</si>
  <si>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</si>
  <si>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</si>
  <si>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</si>
  <si>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</si>
  <si>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</si>
  <si>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</si>
  <si>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</si>
  <si>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</si>
  <si>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</si>
  <si>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</si>
  <si>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</si>
  <si>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</si>
  <si>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</si>
  <si>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</si>
  <si>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</si>
  <si>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</si>
  <si>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</si>
  <si>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</si>
  <si>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</si>
  <si>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</si>
  <si>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</si>
  <si>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</si>
  <si>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</si>
  <si>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</si>
  <si>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</si>
  <si>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</si>
  <si>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</si>
  <si>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</si>
  <si>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</si>
  <si>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</si>
  <si>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</si>
  <si>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</si>
  <si>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</si>
  <si>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</si>
  <si>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</si>
  <si>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</si>
  <si>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</si>
  <si>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</si>
  <si>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</si>
  <si>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</si>
  <si>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</si>
  <si>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</si>
  <si>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</si>
  <si>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</si>
  <si>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</si>
  <si>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</si>
  <si>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</si>
  <si>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</si>
  <si>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</si>
  <si>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</si>
  <si>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</si>
  <si>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</si>
  <si>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</si>
  <si>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</si>
  <si>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</si>
  <si>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</si>
  <si>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</si>
  <si>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</si>
  <si>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</si>
  <si>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</si>
  <si>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</si>
  <si>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</si>
  <si>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</si>
  <si>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</si>
  <si>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</si>
  <si>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</si>
  <si>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</si>
  <si>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</si>
  <si>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</si>
  <si>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</si>
  <si>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</si>
  <si>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</si>
  <si>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</si>
  <si>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</si>
  <si>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</si>
  <si>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</si>
  <si>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</si>
  <si>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</si>
  <si>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</si>
  <si>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</si>
  <si>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</si>
  <si>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</si>
  <si>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</si>
  <si>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</si>
  <si>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</si>
  <si>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</si>
  <si>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</si>
  <si>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</si>
  <si>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</si>
  <si>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</si>
  <si>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</si>
  <si>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</si>
  <si>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</si>
  <si>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</si>
  <si>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</si>
  <si>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</si>
  <si>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</si>
  <si>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</si>
  <si>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</si>
  <si>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</si>
  <si>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</si>
  <si>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</si>
  <si>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</si>
  <si>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</si>
  <si>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</si>
  <si>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</si>
  <si>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</si>
  <si>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</si>
  <si>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</si>
  <si>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</si>
  <si>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</si>
  <si>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</si>
  <si>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</si>
  <si>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</si>
  <si>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</si>
  <si>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</si>
  <si>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</si>
  <si>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</si>
  <si>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</si>
  <si>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</si>
  <si>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</si>
  <si>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</si>
  <si>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</si>
  <si>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</si>
  <si>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</si>
  <si>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</si>
  <si>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</si>
  <si>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</si>
  <si>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</si>
  <si>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</si>
  <si>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</si>
  <si>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</si>
  <si>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</si>
  <si>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</si>
  <si>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</si>
  <si>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</si>
  <si>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</si>
  <si>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</si>
  <si>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</si>
  <si>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</si>
  <si>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</si>
  <si>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</si>
  <si>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</si>
  <si>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</si>
  <si>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</si>
  <si>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</si>
  <si>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</si>
  <si>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</si>
  <si>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</si>
  <si>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</si>
  <si>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</si>
  <si>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</si>
  <si>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</si>
  <si>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</si>
  <si>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</si>
  <si>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</si>
  <si>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</si>
  <si>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</si>
  <si>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</si>
  <si>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</si>
  <si>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</si>
  <si>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</si>
  <si>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</si>
  <si>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</si>
  <si>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</si>
  <si>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</si>
  <si>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</si>
  <si>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</si>
  <si>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</si>
  <si>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</si>
  <si>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</si>
  <si>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</si>
  <si>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</si>
  <si>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</si>
  <si>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</si>
  <si>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</si>
  <si>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</si>
  <si>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</si>
  <si>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</si>
  <si>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</si>
  <si>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</si>
  <si>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</si>
  <si>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</si>
  <si>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</si>
  <si>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</si>
  <si>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</si>
  <si>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</si>
  <si>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</si>
  <si>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</si>
  <si>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</si>
  <si>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</si>
  <si>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</si>
  <si>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</si>
  <si>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</si>
  <si>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</si>
  <si>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</si>
  <si>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</si>
  <si>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</si>
  <si>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</si>
  <si>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</si>
  <si>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</si>
  <si>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</si>
  <si>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</si>
  <si>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</si>
  <si>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</si>
  <si>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</si>
  <si>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</si>
  <si>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</si>
  <si>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</si>
  <si>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</si>
  <si>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</si>
  <si>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</si>
  <si>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</si>
  <si>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</si>
  <si>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</si>
  <si>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</si>
  <si>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</si>
  <si>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</si>
  <si>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</si>
  <si>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</si>
  <si>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</si>
  <si>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</si>
  <si>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</si>
  <si>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</si>
  <si>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</si>
  <si>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</si>
  <si>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</si>
  <si>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</si>
  <si>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</si>
  <si>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</si>
  <si>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</si>
  <si>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</si>
  <si>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</si>
  <si>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</si>
  <si>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</si>
  <si>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</si>
  <si>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</si>
  <si>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</si>
  <si>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</si>
  <si>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</si>
  <si>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</si>
  <si>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</si>
  <si>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</si>
  <si>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</si>
  <si>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</si>
  <si>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</si>
  <si>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</si>
  <si>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</si>
  <si>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</si>
  <si>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</si>
  <si>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</si>
  <si>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</si>
  <si>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</si>
  <si>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</si>
  <si>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</si>
  <si>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</si>
  <si>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</si>
  <si>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</si>
  <si>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</si>
  <si>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</si>
  <si>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</si>
  <si>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</si>
  <si>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</si>
  <si>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</si>
  <si>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</si>
  <si>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</si>
  <si>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</si>
  <si>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</si>
  <si>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</si>
  <si>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</si>
  <si>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</si>
  <si>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</si>
  <si>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</si>
  <si>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</si>
  <si>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</si>
  <si>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</si>
  <si>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</si>
  <si>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</si>
  <si>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</si>
  <si>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</si>
  <si>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</si>
  <si>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</si>
  <si>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</si>
  <si>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</si>
  <si>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</si>
  <si>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</si>
  <si>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</si>
  <si>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</si>
  <si>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</si>
  <si>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</si>
  <si>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</si>
  <si>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</si>
  <si>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</si>
  <si>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</si>
  <si>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</si>
  <si>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</si>
  <si>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</si>
  <si>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</si>
  <si>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</si>
  <si>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</si>
  <si>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</si>
  <si>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</si>
  <si>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</si>
  <si>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</si>
  <si>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</si>
  <si>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</si>
  <si>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</si>
  <si>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</si>
  <si>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</si>
  <si>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</si>
  <si>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</si>
  <si>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</si>
  <si>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</si>
  <si>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</si>
  <si>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</si>
  <si>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</si>
  <si>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</si>
  <si>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</si>
  <si>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</si>
  <si>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</si>
  <si>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</si>
  <si>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</si>
  <si>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</si>
  <si>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</si>
  <si>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</si>
  <si>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</si>
  <si>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</si>
  <si>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</si>
  <si>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</si>
  <si>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</si>
  <si>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</si>
  <si>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</si>
  <si>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</si>
  <si>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</si>
  <si>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</si>
  <si>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</si>
  <si>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</si>
  <si>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</si>
  <si>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</si>
  <si>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</si>
  <si>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</si>
  <si>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</si>
  <si>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</si>
  <si>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</si>
  <si>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</si>
  <si>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</si>
  <si>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</si>
  <si>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</si>
  <si>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</si>
  <si>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</si>
  <si>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</si>
  <si>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</si>
  <si>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</si>
  <si>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</si>
  <si>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</si>
  <si>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</si>
  <si>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</si>
  <si>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</si>
  <si>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</si>
  <si>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</si>
  <si>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</si>
  <si>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</si>
  <si>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</si>
  <si>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</si>
  <si>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</si>
  <si>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</si>
  <si>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</si>
  <si>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</si>
  <si>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</si>
  <si>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</si>
  <si>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</si>
  <si>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</si>
  <si>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</si>
  <si>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</si>
  <si>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</si>
  <si>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</si>
  <si>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</si>
  <si>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</si>
  <si>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</si>
  <si>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</si>
  <si>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</si>
  <si>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</si>
  <si>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</si>
  <si>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</si>
  <si>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</si>
  <si>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</si>
  <si>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</si>
  <si>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</si>
  <si>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</si>
  <si>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</si>
  <si>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</si>
  <si>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</si>
  <si>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</si>
  <si>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</si>
  <si>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</si>
  <si>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</si>
  <si>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</si>
  <si>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</si>
  <si>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</si>
  <si>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</si>
  <si>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</si>
  <si>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</si>
  <si>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</si>
  <si>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</si>
  <si>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</si>
  <si>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</si>
  <si>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</si>
  <si>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</si>
  <si>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</si>
  <si>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</si>
  <si>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</si>
  <si>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</si>
  <si>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</si>
  <si>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</si>
  <si>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</si>
  <si>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</si>
  <si>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</si>
  <si>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</si>
  <si>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</si>
  <si>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</si>
  <si>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</si>
  <si>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</si>
  <si>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</si>
  <si>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</si>
  <si>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</si>
  <si>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</si>
  <si>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</si>
  <si>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</si>
  <si>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</si>
  <si>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</si>
  <si>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</si>
  <si>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</si>
  <si>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</si>
  <si>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</si>
  <si>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</si>
  <si>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</si>
  <si>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</si>
  <si>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</si>
  <si>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</si>
  <si>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</si>
  <si>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</si>
  <si>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</si>
  <si>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</si>
  <si>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</si>
  <si>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</si>
  <si>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</si>
  <si>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</si>
  <si>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</si>
  <si>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</si>
  <si>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</si>
  <si>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</si>
  <si>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</si>
  <si>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</si>
  <si>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</si>
  <si>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</si>
  <si>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</si>
  <si>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</si>
  <si>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</si>
  <si>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</si>
  <si>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</si>
  <si>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</si>
  <si>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</si>
  <si>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</si>
  <si>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</si>
  <si>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</si>
  <si>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</si>
  <si>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</si>
  <si>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</si>
  <si>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</si>
  <si>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</si>
  <si>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</si>
  <si>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</si>
  <si>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</si>
  <si>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</si>
  <si>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</si>
  <si>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</si>
  <si>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</si>
  <si>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</si>
  <si>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</si>
  <si>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</si>
  <si>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</si>
  <si>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</si>
  <si>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</si>
  <si>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</si>
  <si>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</si>
  <si>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</si>
  <si>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</si>
  <si>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</si>
  <si>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</si>
  <si>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</si>
  <si>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</si>
  <si>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</si>
  <si>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</si>
  <si>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</si>
  <si>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</si>
  <si>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</si>
  <si>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</si>
  <si>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</si>
  <si>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</si>
  <si>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</si>
  <si>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</si>
  <si>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</si>
  <si>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</si>
  <si>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</si>
  <si>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</si>
  <si>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</si>
  <si>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</si>
  <si>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</si>
  <si>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</si>
  <si>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</si>
  <si>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</si>
  <si>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</si>
  <si>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</si>
  <si>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</si>
  <si>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</si>
  <si>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</si>
  <si>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</si>
  <si>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</si>
  <si>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</si>
  <si>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</si>
  <si>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</si>
  <si>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</si>
  <si>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</si>
  <si>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</si>
  <si>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</si>
  <si>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</si>
  <si>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</si>
  <si>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</si>
  <si>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</si>
  <si>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</si>
  <si>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</si>
  <si>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</si>
  <si>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</si>
  <si>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</si>
  <si>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</si>
  <si>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</si>
  <si>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</si>
  <si>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</si>
  <si>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</si>
  <si>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</si>
  <si>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</si>
  <si>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</si>
  <si>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</si>
  <si>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</si>
  <si>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</si>
  <si>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</si>
  <si>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</si>
  <si>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</si>
  <si>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</si>
  <si>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</si>
  <si>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</si>
  <si>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</si>
  <si>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</si>
  <si>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</si>
  <si>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</si>
  <si>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</si>
  <si>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</si>
  <si>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</si>
  <si>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</si>
  <si>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</si>
  <si>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</si>
  <si>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</si>
  <si>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</si>
  <si>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</si>
  <si>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</si>
  <si>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</si>
  <si>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</si>
  <si>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</si>
  <si>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</si>
  <si>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</si>
  <si>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</si>
  <si>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</si>
  <si>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</si>
  <si>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</si>
  <si>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</si>
  <si>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</si>
  <si>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</si>
  <si>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</si>
  <si>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</si>
  <si>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</si>
  <si>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</si>
  <si>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</si>
  <si>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</si>
  <si>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</si>
  <si>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</si>
  <si>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</si>
  <si>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</si>
  <si>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</si>
  <si>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</si>
  <si>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</si>
  <si>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</si>
  <si>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</si>
  <si>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</si>
  <si>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</si>
  <si>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</si>
  <si>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</si>
  <si>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</si>
  <si>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</si>
  <si>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</si>
  <si>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</si>
  <si>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</si>
  <si>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</si>
  <si>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</si>
  <si>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</si>
  <si>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</si>
  <si>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</si>
  <si>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</si>
  <si>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</si>
  <si>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</si>
  <si>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</si>
  <si>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</si>
  <si>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</si>
  <si>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</si>
  <si>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</si>
  <si>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</si>
  <si>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</si>
  <si>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</si>
  <si>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</si>
  <si>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</si>
  <si>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</si>
  <si>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</si>
  <si>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</si>
  <si>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</si>
  <si>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</si>
  <si>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</si>
  <si>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</si>
  <si>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</si>
  <si>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</si>
  <si>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</si>
  <si>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</si>
  <si>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</si>
  <si>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</si>
  <si>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</si>
  <si>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</si>
  <si>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</si>
  <si>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</si>
  <si>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</si>
  <si>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</si>
  <si>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</si>
  <si>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</si>
  <si>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</si>
  <si>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</si>
  <si>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</si>
  <si>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</si>
  <si>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</si>
  <si>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</si>
  <si>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</si>
  <si>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</si>
  <si>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</si>
  <si>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</si>
  <si>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</si>
  <si>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</si>
  <si>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</si>
  <si>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</si>
  <si>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</si>
  <si>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</si>
  <si>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</si>
  <si>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</si>
  <si>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</si>
  <si>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</si>
  <si>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</si>
  <si>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</si>
  <si>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</si>
  <si>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</si>
  <si>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</si>
  <si>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</si>
  <si>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</si>
  <si>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</si>
  <si>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</si>
  <si>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</si>
  <si>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</si>
  <si>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</si>
  <si>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</si>
  <si>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</si>
  <si>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</si>
  <si>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</si>
  <si>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</si>
  <si>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</si>
  <si>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</si>
  <si>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</si>
  <si>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</si>
  <si>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</si>
  <si>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</si>
  <si>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</si>
  <si>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</si>
  <si>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</si>
  <si>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</si>
  <si>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</si>
  <si>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</si>
  <si>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</si>
  <si>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</si>
  <si>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</si>
  <si>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</si>
  <si>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</si>
  <si>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</si>
  <si>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</si>
  <si>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</si>
  <si>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</si>
  <si>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</si>
  <si>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</si>
  <si>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</si>
  <si>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</si>
  <si>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</si>
  <si>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</si>
  <si>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</si>
  <si>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</si>
  <si>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</si>
  <si>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</si>
  <si>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</si>
  <si>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</si>
  <si>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</si>
  <si>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</si>
  <si>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</si>
  <si>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</si>
  <si>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</si>
  <si>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</si>
  <si>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</si>
  <si>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</si>
  <si>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</si>
  <si>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</si>
  <si>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</si>
  <si>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</si>
  <si>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</si>
  <si>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</si>
  <si>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</si>
  <si>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</si>
  <si>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</si>
  <si>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</si>
  <si>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</si>
  <si>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</si>
  <si>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</si>
  <si>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</si>
  <si>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</si>
  <si>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</si>
  <si>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</si>
  <si>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</si>
  <si>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</si>
  <si>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</si>
  <si>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</si>
  <si>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</si>
  <si>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</si>
  <si>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</si>
  <si>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</si>
  <si>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</si>
  <si>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</si>
  <si>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</si>
  <si>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</si>
  <si>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</si>
  <si>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</si>
  <si>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</si>
  <si>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</si>
  <si>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</si>
  <si>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</si>
  <si>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</si>
  <si>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</si>
  <si>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</si>
  <si>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</si>
  <si>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</si>
  <si>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</si>
  <si>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</si>
  <si>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</si>
  <si>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</si>
  <si>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</si>
  <si>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</si>
  <si>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</si>
  <si>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</si>
  <si>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</si>
  <si>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</si>
  <si>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</si>
  <si>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</si>
  <si>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</si>
  <si>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</si>
  <si>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</si>
  <si>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</si>
  <si>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</si>
  <si>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</si>
  <si>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</si>
  <si>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</si>
  <si>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</si>
  <si>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</si>
  <si>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</si>
  <si>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</si>
  <si>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</si>
  <si>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</si>
  <si>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</si>
  <si>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</si>
  <si>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</si>
  <si>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</si>
  <si>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</si>
  <si>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</si>
  <si>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</si>
  <si>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</si>
  <si>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</si>
  <si>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</si>
  <si>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</si>
  <si>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</si>
  <si>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</si>
  <si>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</si>
  <si>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</si>
  <si>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</si>
  <si>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</si>
  <si>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</si>
  <si>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</si>
  <si>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</si>
  <si>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</si>
  <si>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</si>
  <si>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</si>
  <si>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</si>
  <si>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</si>
  <si>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</si>
  <si>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</si>
  <si>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</si>
  <si>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</si>
  <si>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</si>
  <si>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</si>
  <si>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</si>
  <si>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</si>
  <si>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</si>
  <si>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</si>
  <si>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</si>
  <si>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</si>
  <si>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</si>
  <si>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</si>
  <si>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</si>
  <si>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</si>
  <si>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</si>
  <si>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</si>
  <si>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</si>
  <si>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</si>
  <si>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</si>
  <si>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</si>
  <si>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</si>
  <si>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</si>
  <si>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</si>
  <si>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</si>
  <si>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</si>
  <si>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</si>
  <si>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</si>
  <si>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</si>
  <si>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</si>
  <si>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</si>
  <si>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</si>
  <si>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</si>
  <si>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</si>
  <si>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</si>
  <si>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</si>
  <si>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</si>
  <si>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</si>
  <si>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</si>
  <si>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</si>
  <si>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</si>
  <si>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</si>
  <si>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</si>
  <si>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</si>
  <si>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</si>
  <si>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</si>
  <si>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</si>
  <si>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</si>
  <si>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</si>
  <si>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</si>
  <si>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</si>
  <si>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</si>
  <si>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</si>
  <si>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</si>
  <si>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</si>
  <si>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</si>
  <si>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</si>
  <si>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</si>
  <si>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</si>
  <si>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</si>
  <si>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</si>
  <si>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</si>
  <si>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</si>
  <si>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</si>
  <si>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</si>
  <si>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</si>
  <si>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</si>
  <si>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</si>
  <si>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</si>
  <si>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</si>
  <si>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</si>
  <si>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</si>
  <si>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</si>
  <si>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</si>
  <si>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</si>
  <si>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</si>
  <si>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</si>
  <si>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</si>
  <si>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</si>
  <si>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</si>
  <si>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</si>
  <si>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</si>
  <si>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</si>
  <si>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</si>
  <si>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</si>
  <si>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</si>
  <si>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</si>
  <si>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</si>
  <si>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</si>
  <si>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</si>
  <si>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</si>
  <si>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</si>
  <si>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</si>
  <si>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</si>
  <si>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</si>
  <si>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</si>
  <si>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</si>
  <si>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</si>
  <si>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</si>
  <si>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</si>
  <si>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</si>
  <si>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</si>
  <si>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</si>
  <si>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</si>
  <si>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</si>
  <si>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</si>
  <si>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</si>
  <si>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</si>
  <si>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</si>
  <si>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</si>
  <si>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</si>
  <si>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</si>
  <si>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</si>
  <si>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</si>
  <si>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</si>
  <si>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</si>
  <si>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</si>
  <si>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</si>
  <si>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</si>
  <si>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</si>
  <si>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</si>
  <si>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</si>
  <si>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</si>
  <si>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</si>
  <si>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</si>
  <si>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</si>
  <si>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</si>
  <si>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</si>
  <si>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</si>
  <si>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</si>
  <si>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</si>
  <si>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</si>
  <si>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</si>
  <si>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</si>
  <si>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</si>
  <si>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</si>
  <si>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</si>
  <si>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</si>
  <si>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</si>
  <si>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</si>
  <si>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</si>
  <si>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</si>
  <si>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</si>
  <si>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</si>
  <si>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</si>
  <si>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</si>
  <si>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</si>
  <si>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</si>
  <si>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</si>
  <si>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</si>
  <si>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</si>
  <si>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</si>
  <si>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</si>
  <si>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</si>
  <si>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</si>
  <si>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</si>
  <si>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</si>
  <si>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</si>
  <si>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</si>
  <si>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</si>
  <si>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</si>
  <si>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</si>
  <si>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</si>
  <si>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</si>
  <si>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</si>
  <si>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</si>
  <si>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</si>
  <si>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</si>
  <si>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</si>
  <si>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</si>
  <si>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</si>
  <si>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</si>
  <si>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</si>
  <si>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</si>
  <si>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</si>
  <si>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</si>
  <si>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</si>
  <si>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</si>
  <si>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</si>
  <si>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</si>
  <si>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</si>
  <si>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</si>
  <si>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</si>
  <si>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</si>
  <si>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</si>
  <si>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</si>
  <si>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</si>
  <si>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</si>
  <si>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</si>
  <si>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</si>
  <si>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</si>
  <si>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</si>
  <si>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</si>
  <si>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</si>
  <si>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</si>
  <si>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</si>
  <si>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</si>
  <si>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</si>
  <si>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</si>
  <si>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</si>
  <si>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</si>
  <si>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</si>
  <si>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</si>
  <si>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</si>
  <si>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</si>
  <si>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</si>
  <si>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</si>
  <si>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</si>
  <si>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</si>
  <si>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</si>
  <si>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</si>
  <si>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</si>
  <si>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</si>
  <si>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</si>
  <si>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</si>
  <si>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</si>
  <si>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</si>
  <si>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</si>
  <si>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</si>
  <si>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</si>
  <si>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</si>
  <si>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</si>
  <si>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</si>
  <si>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</si>
  <si>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</si>
  <si>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</si>
  <si>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</si>
  <si>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</si>
  <si>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</si>
  <si>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</si>
  <si>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</si>
  <si>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</si>
  <si>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</si>
  <si>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</si>
  <si>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</si>
  <si>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</si>
  <si>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</si>
  <si>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</si>
  <si>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</si>
  <si>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</si>
  <si>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</si>
  <si>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</si>
  <si>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</si>
  <si>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</si>
  <si>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</si>
  <si>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</si>
  <si>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</si>
  <si>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</si>
  <si>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</si>
  <si>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</si>
  <si>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</si>
  <si>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</si>
  <si>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</si>
  <si>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</si>
  <si>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</si>
  <si>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</si>
  <si>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</si>
  <si>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</si>
  <si>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</si>
  <si>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</si>
  <si>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</si>
  <si>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</si>
  <si>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</si>
  <si>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</si>
  <si>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</si>
  <si>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</si>
  <si>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</si>
  <si>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</si>
  <si>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</si>
  <si>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</si>
  <si>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</si>
  <si>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</si>
  <si>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</si>
  <si>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</si>
  <si>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</si>
  <si>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</si>
  <si>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</si>
  <si>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</si>
  <si>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</si>
  <si>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</si>
  <si>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</si>
  <si>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</si>
  <si>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</si>
  <si>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</si>
  <si>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</si>
  <si>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</si>
  <si>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</si>
  <si>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</si>
  <si>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</si>
  <si>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</si>
  <si>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</si>
  <si>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</si>
  <si>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</si>
  <si>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</si>
  <si>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</si>
  <si>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</si>
  <si>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</si>
  <si>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</si>
  <si>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</si>
  <si>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</si>
  <si>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</si>
  <si>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</si>
  <si>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</si>
  <si>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</si>
  <si>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</si>
  <si>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</si>
  <si>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</si>
  <si>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</si>
  <si>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</si>
  <si>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</si>
  <si>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</si>
  <si>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</si>
  <si>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</si>
  <si>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</si>
  <si>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</si>
  <si>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</si>
  <si>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</si>
  <si>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</si>
  <si>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</si>
  <si>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</si>
  <si>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</si>
  <si>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</si>
  <si>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</si>
  <si>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</si>
  <si>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</si>
  <si>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</si>
  <si>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</si>
  <si>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</si>
  <si>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</si>
  <si>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</si>
  <si>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</si>
  <si>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</si>
  <si>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</si>
  <si>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</si>
  <si>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</si>
  <si>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</si>
  <si>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</si>
  <si>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</si>
  <si>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</si>
  <si>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</si>
  <si>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</si>
  <si>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</si>
  <si>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</si>
  <si>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</si>
  <si>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</si>
  <si>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</si>
  <si>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</si>
  <si>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</si>
  <si>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</si>
  <si>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</si>
  <si>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</si>
  <si>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</si>
  <si>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</si>
  <si>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</si>
  <si>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</si>
  <si>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</si>
  <si>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</si>
  <si>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</si>
  <si>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</si>
  <si>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</si>
  <si>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</si>
  <si>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</si>
  <si>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</si>
  <si>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</si>
  <si>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</si>
  <si>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</si>
  <si>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</si>
  <si>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</si>
  <si>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</si>
  <si>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</si>
  <si>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</si>
  <si>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</si>
  <si>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</si>
  <si>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</si>
  <si>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</si>
  <si>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</si>
  <si>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</si>
  <si>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</si>
  <si>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</si>
  <si>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</si>
  <si>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</si>
  <si>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</si>
  <si>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</si>
  <si>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</si>
  <si>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</si>
  <si>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</si>
  <si>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</si>
  <si>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</si>
  <si>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</si>
  <si>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</si>
  <si>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</si>
  <si>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</si>
  <si>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</si>
  <si>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</si>
  <si>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</si>
  <si>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</si>
  <si>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</si>
  <si>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</si>
  <si>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</si>
  <si>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</si>
  <si>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</si>
  <si>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</si>
  <si>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</si>
  <si>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</si>
  <si>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</si>
  <si>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</si>
  <si>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</si>
  <si>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</si>
  <si>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</si>
  <si>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</si>
  <si>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</si>
  <si>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</si>
  <si>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</si>
  <si>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</si>
  <si>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</si>
  <si>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</si>
  <si>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</si>
  <si>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</si>
  <si>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</si>
  <si>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</si>
  <si>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</si>
  <si>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</si>
  <si>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</si>
  <si>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</si>
  <si>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</si>
  <si>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</si>
  <si>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</si>
  <si>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</si>
  <si>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</si>
  <si>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</si>
  <si>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</si>
  <si>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</si>
  <si>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</si>
  <si>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</si>
  <si>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</si>
  <si>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</si>
  <si>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</si>
  <si>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</si>
  <si>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</si>
  <si>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</si>
  <si>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</si>
  <si>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</si>
  <si>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</si>
  <si>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</si>
  <si>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</si>
  <si>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</si>
  <si>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</si>
  <si>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</si>
  <si>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</si>
  <si>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</si>
  <si>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</si>
  <si>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</si>
  <si>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</si>
  <si>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</si>
  <si>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</si>
  <si>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</si>
  <si>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</si>
  <si>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</si>
  <si>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</si>
  <si>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</si>
  <si>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</si>
  <si>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</si>
  <si>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</si>
  <si>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</si>
  <si>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</si>
  <si>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</si>
  <si>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</si>
  <si>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</si>
  <si>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</si>
  <si>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</si>
  <si>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</si>
  <si>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</si>
  <si>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</si>
  <si>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</si>
  <si>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</si>
  <si>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</si>
  <si>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</si>
  <si>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</si>
  <si>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</si>
  <si>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</si>
  <si>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</si>
  <si>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</si>
  <si>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</si>
  <si>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</si>
  <si>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</si>
  <si>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</si>
  <si>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</si>
  <si>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</si>
  <si>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</si>
  <si>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</si>
  <si>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</si>
  <si>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</si>
  <si>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</si>
  <si>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</si>
  <si>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</si>
  <si>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</si>
  <si>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</si>
  <si>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</si>
  <si>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</si>
  <si>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</si>
  <si>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</si>
  <si>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</si>
  <si>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</si>
  <si>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</si>
  <si>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</si>
  <si>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</si>
  <si>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</si>
  <si>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</si>
  <si>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</si>
  <si>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</si>
  <si>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</si>
  <si>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</si>
  <si>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</si>
  <si>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</si>
  <si>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</si>
  <si>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</si>
  <si>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</si>
  <si>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</si>
  <si>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</si>
  <si>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</si>
  <si>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</si>
  <si>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</si>
  <si>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</si>
  <si>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</si>
  <si>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</si>
  <si>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</si>
  <si>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</si>
  <si>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</si>
  <si>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</si>
  <si>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</si>
  <si>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</si>
  <si>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</si>
  <si>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</si>
  <si>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</si>
  <si>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</si>
  <si>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</si>
  <si>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</si>
  <si>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</si>
  <si>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</si>
  <si>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</si>
  <si>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</si>
  <si>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</si>
  <si>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</si>
  <si>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</si>
  <si>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</si>
  <si>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</si>
  <si>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</si>
  <si>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</si>
  <si>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</si>
  <si>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</si>
  <si>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</si>
  <si>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</si>
  <si>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</si>
  <si>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</si>
  <si>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</si>
  <si>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</si>
  <si>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</si>
  <si>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</si>
  <si>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</si>
  <si>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</si>
  <si>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</si>
  <si>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</si>
  <si>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</si>
  <si>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</si>
  <si>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</si>
  <si>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</si>
  <si>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</si>
  <si>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</si>
  <si>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</si>
  <si>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</si>
  <si>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</si>
  <si>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</si>
  <si>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</si>
  <si>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</si>
  <si>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</si>
  <si>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</si>
  <si>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</si>
  <si>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</si>
  <si>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</si>
  <si>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</si>
  <si>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</si>
  <si>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</si>
  <si>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</si>
  <si>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</si>
  <si>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</si>
  <si>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</si>
  <si>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</si>
  <si>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</si>
  <si>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</si>
  <si>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</si>
  <si>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</si>
  <si>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</si>
  <si>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</si>
  <si>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</si>
  <si>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</si>
  <si>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</si>
  <si>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</si>
  <si>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</si>
  <si>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</si>
  <si>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</si>
  <si>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</si>
  <si>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</si>
  <si>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</si>
  <si>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</si>
  <si>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</si>
  <si>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</si>
  <si>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</si>
  <si>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</si>
  <si>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</si>
  <si>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</si>
  <si>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</si>
  <si>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</si>
  <si>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</si>
  <si>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</si>
  <si>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</si>
  <si>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</si>
  <si>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</si>
  <si>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</si>
  <si>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</si>
  <si>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</si>
  <si>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</si>
  <si>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</si>
  <si>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</si>
  <si>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</si>
  <si>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</si>
  <si>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</si>
  <si>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</si>
  <si>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</si>
  <si>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</si>
  <si>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</si>
  <si>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</si>
  <si>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</si>
  <si>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</si>
  <si>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</si>
  <si>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</si>
  <si>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</si>
  <si>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</si>
  <si>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</si>
  <si>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</si>
  <si>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</si>
  <si>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</si>
  <si>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</si>
  <si>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</si>
  <si>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</si>
  <si>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</si>
  <si>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</si>
  <si>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</si>
  <si>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</si>
  <si>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</si>
  <si>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</si>
  <si>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</si>
  <si>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</si>
  <si>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</si>
  <si>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</si>
  <si>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</si>
  <si>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</si>
  <si>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</si>
  <si>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</si>
  <si>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</si>
  <si>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</si>
  <si>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</si>
  <si>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</si>
  <si>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</si>
  <si>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</si>
  <si>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</si>
  <si>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</si>
  <si>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</si>
  <si>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</si>
  <si>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</si>
  <si>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</si>
  <si>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</si>
  <si>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</si>
  <si>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</si>
  <si>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</si>
  <si>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</si>
  <si>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</si>
  <si>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</si>
  <si>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</si>
  <si>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</si>
  <si>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</si>
  <si>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</si>
  <si>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</si>
  <si>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</si>
  <si>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</si>
  <si>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</si>
  <si>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</si>
  <si>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</si>
  <si>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</si>
  <si>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</si>
  <si>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</si>
  <si>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</si>
  <si>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</si>
  <si>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</si>
  <si>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</si>
  <si>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</si>
  <si>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</si>
  <si>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</si>
  <si>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</si>
  <si>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</si>
  <si>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</si>
  <si>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</si>
  <si>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</si>
  <si>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</si>
  <si>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</si>
  <si>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</si>
  <si>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</si>
  <si>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</si>
  <si>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</si>
  <si>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</si>
  <si>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</si>
  <si>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</si>
  <si>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</si>
  <si>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</si>
  <si>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</si>
  <si>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</si>
  <si>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</si>
  <si>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</si>
  <si>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</si>
  <si>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</si>
  <si>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</si>
  <si>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</si>
  <si>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</si>
  <si>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</si>
  <si>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</si>
  <si>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</si>
  <si>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</si>
  <si>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</si>
  <si>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</si>
  <si>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</si>
  <si>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</si>
  <si>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</si>
  <si>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</si>
  <si>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</si>
  <si>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</si>
  <si>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</si>
  <si>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</si>
  <si>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</si>
  <si>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</si>
  <si>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</si>
  <si>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</si>
  <si>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</si>
  <si>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</si>
  <si>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</si>
  <si>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</si>
  <si>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</si>
  <si>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</si>
  <si>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</si>
  <si>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</si>
  <si>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</si>
  <si>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</si>
  <si>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</si>
  <si>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</si>
  <si>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</si>
  <si>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</si>
  <si>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</si>
  <si>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</si>
  <si>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</si>
  <si>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</si>
  <si>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</si>
  <si>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</si>
  <si>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</si>
  <si>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</si>
  <si>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</si>
  <si>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</si>
  <si>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</si>
  <si>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</si>
  <si>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</si>
  <si>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</si>
  <si>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</si>
  <si>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</si>
  <si>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</si>
  <si>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</si>
  <si>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</si>
  <si>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</si>
  <si>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</si>
  <si>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</si>
  <si>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</si>
  <si>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</si>
  <si>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</si>
  <si>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</si>
  <si>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</si>
  <si>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</si>
  <si>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</si>
  <si>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</si>
  <si>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</si>
  <si>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</si>
  <si>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</si>
  <si>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</si>
  <si>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</si>
  <si>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</si>
  <si>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</si>
  <si>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</si>
  <si>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</si>
  <si>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</si>
  <si>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</si>
  <si>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</si>
  <si>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</si>
  <si>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</si>
  <si>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</si>
  <si>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</si>
  <si>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</si>
  <si>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</si>
  <si>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</si>
  <si>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</si>
  <si>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</si>
  <si>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</si>
  <si>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</si>
  <si>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</si>
  <si>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</si>
  <si>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</si>
  <si>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</si>
  <si>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</si>
  <si>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</si>
  <si>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</si>
  <si>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</si>
  <si>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</si>
  <si>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</si>
  <si>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</si>
  <si>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</si>
  <si>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</si>
  <si>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</si>
  <si>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</si>
  <si>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</si>
  <si>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</si>
  <si>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</si>
  <si>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</si>
  <si>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</si>
  <si>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</si>
  <si>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</si>
  <si>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</si>
  <si>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</si>
  <si>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</si>
  <si>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</si>
  <si>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</si>
  <si>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</si>
  <si>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</si>
  <si>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</si>
  <si>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</si>
  <si>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</si>
  <si>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</si>
  <si>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</si>
  <si>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</si>
  <si>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</si>
  <si>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</si>
  <si>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</si>
  <si>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</si>
  <si>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</si>
  <si>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</si>
  <si>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</si>
  <si>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</si>
  <si>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</si>
  <si>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</si>
  <si>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</si>
  <si>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</si>
  <si>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</si>
  <si>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</si>
  <si>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</si>
  <si>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</si>
  <si>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</si>
  <si>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</si>
  <si>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</si>
  <si>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</si>
  <si>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</si>
  <si>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</si>
  <si>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</si>
  <si>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</si>
  <si>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</si>
  <si>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</si>
  <si>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</si>
  <si>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</si>
  <si>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</si>
  <si>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</si>
  <si>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</si>
  <si>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</si>
  <si>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</si>
  <si>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</si>
  <si>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</si>
  <si>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</si>
  <si>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</si>
  <si>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</si>
  <si>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</si>
  <si>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</si>
  <si>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</si>
  <si>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</si>
  <si>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</si>
  <si>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</si>
  <si>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</si>
  <si>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</si>
  <si>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</si>
  <si>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</si>
  <si>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</si>
  <si>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</si>
  <si>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</si>
  <si>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</si>
  <si>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</si>
  <si>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</si>
  <si>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</si>
  <si>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</si>
  <si>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</si>
  <si>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</si>
  <si>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</si>
  <si>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</si>
  <si>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</si>
  <si>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</si>
  <si>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</si>
  <si>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</si>
  <si>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</si>
  <si>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</si>
  <si>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</si>
  <si>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</si>
  <si>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</si>
  <si>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</si>
  <si>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</si>
  <si>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</si>
  <si>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</si>
  <si>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</si>
  <si>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</si>
  <si>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</si>
  <si>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</si>
  <si>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</si>
  <si>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</si>
  <si>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</si>
  <si>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</si>
  <si>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</si>
  <si>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</si>
  <si>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</si>
  <si>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</si>
  <si>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</si>
  <si>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</si>
  <si>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</si>
  <si>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</si>
  <si>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</si>
  <si>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</si>
  <si>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</si>
  <si>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</si>
  <si>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</si>
  <si>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</si>
  <si>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</si>
  <si>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</si>
  <si>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</si>
  <si>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</si>
  <si>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</si>
  <si>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</si>
  <si>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</si>
  <si>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</si>
  <si>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</si>
  <si>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</si>
  <si>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</si>
  <si>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</si>
  <si>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</si>
  <si>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</si>
  <si>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</si>
  <si>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</si>
  <si>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</si>
  <si>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</si>
  <si>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</si>
  <si>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</si>
  <si>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</si>
  <si>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</si>
  <si>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</si>
  <si>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</si>
  <si>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</si>
  <si>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</si>
  <si>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</si>
  <si>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</si>
  <si>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</si>
  <si>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</si>
  <si>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</si>
  <si>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</si>
  <si>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</si>
  <si>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</si>
  <si>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</si>
  <si>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</si>
  <si>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</si>
  <si>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</si>
  <si>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</si>
  <si>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</si>
  <si>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</si>
  <si>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</si>
  <si>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</si>
  <si>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</si>
  <si>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</si>
  <si>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</si>
  <si>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</si>
  <si>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</si>
  <si>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</si>
  <si>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</si>
  <si>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</si>
  <si>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</si>
  <si>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</si>
  <si>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</si>
  <si>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</si>
  <si>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</si>
  <si>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</si>
  <si>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</si>
  <si>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</si>
  <si>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</si>
  <si>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</si>
  <si>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</si>
  <si>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</si>
  <si>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</si>
  <si>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</si>
  <si>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</si>
  <si>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</si>
  <si>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</si>
  <si>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</si>
  <si>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</si>
  <si>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</si>
  <si>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</si>
  <si>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</si>
  <si>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</si>
  <si>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</si>
  <si>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</si>
  <si>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</si>
  <si>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</si>
  <si>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</si>
  <si>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</si>
  <si>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</si>
  <si>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</si>
  <si>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</si>
  <si>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</si>
  <si>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</si>
  <si>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</si>
  <si>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</si>
  <si>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</si>
  <si>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</si>
  <si>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</si>
  <si>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</si>
  <si>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</si>
  <si>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</si>
  <si>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</si>
  <si>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</si>
  <si>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</si>
  <si>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</si>
  <si>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</si>
  <si>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</si>
  <si>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</si>
  <si>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</si>
  <si>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</si>
  <si>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</si>
  <si>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</si>
  <si>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</si>
  <si>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</si>
  <si>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</si>
  <si>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</si>
  <si>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</si>
  <si>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</si>
  <si>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</si>
  <si>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</si>
  <si>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</si>
  <si>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</si>
  <si>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</si>
  <si>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</si>
  <si>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</si>
  <si>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</si>
  <si>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</si>
  <si>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</si>
  <si>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</si>
  <si>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</si>
  <si>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</si>
  <si>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</si>
  <si>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</si>
  <si>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</si>
  <si>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</si>
  <si>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</si>
  <si>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</si>
  <si>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</si>
  <si>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</si>
  <si>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</si>
  <si>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</si>
  <si>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</si>
  <si>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</si>
  <si>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</si>
  <si>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</si>
  <si>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</si>
  <si>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</si>
  <si>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</si>
  <si>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</si>
  <si>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</si>
  <si>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</si>
  <si>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</si>
  <si>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</si>
  <si>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</si>
  <si>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</si>
  <si>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</si>
  <si>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</si>
  <si>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</si>
  <si>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</si>
  <si>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</si>
  <si>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</si>
  <si>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</si>
  <si>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</si>
  <si>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</si>
  <si>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</si>
  <si>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</si>
  <si>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</si>
  <si>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</si>
  <si>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</si>
  <si>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</si>
  <si>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</si>
  <si>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</si>
  <si>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</si>
  <si>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</si>
  <si>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</si>
  <si>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</si>
  <si>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</si>
  <si>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</si>
  <si>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</si>
  <si>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</si>
  <si>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</si>
  <si>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</si>
  <si>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</si>
  <si>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</si>
  <si>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</si>
  <si>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</si>
  <si>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</si>
  <si>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</si>
  <si>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</si>
  <si>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</si>
  <si>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</si>
  <si>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</si>
  <si>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</si>
  <si>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</si>
  <si>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</si>
  <si>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</si>
  <si>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</si>
  <si>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</si>
  <si>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</si>
  <si>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</si>
  <si>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</si>
  <si>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</si>
  <si>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</si>
  <si>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</si>
  <si>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</si>
  <si>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</si>
  <si>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</si>
  <si>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</si>
  <si>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</si>
  <si>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</si>
  <si>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</si>
  <si>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</si>
  <si>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</si>
  <si>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</si>
  <si>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</si>
  <si>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</si>
  <si>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</si>
  <si>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</si>
  <si>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</si>
  <si>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</si>
  <si>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</si>
  <si>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</si>
  <si>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</si>
  <si>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</si>
  <si>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</si>
  <si>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</si>
  <si>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</si>
  <si>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</si>
  <si>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</si>
  <si>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</si>
  <si>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</si>
  <si>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</si>
  <si>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</si>
  <si>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</si>
  <si>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</si>
  <si>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</si>
  <si>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</si>
  <si>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</si>
  <si>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</si>
  <si>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</si>
  <si>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</si>
  <si>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</si>
  <si>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</si>
  <si>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</si>
  <si>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</si>
  <si>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</si>
  <si>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</si>
  <si>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</si>
  <si>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</si>
  <si>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</si>
  <si>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</si>
  <si>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</si>
  <si>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</si>
  <si>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</si>
  <si>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</si>
  <si>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</si>
  <si>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</si>
  <si>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</si>
  <si>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</si>
  <si>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</si>
  <si>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</si>
  <si>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</si>
  <si>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</si>
  <si>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</si>
  <si>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</si>
  <si>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</si>
  <si>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</si>
  <si>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</si>
  <si>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</si>
  <si>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</si>
  <si>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</si>
  <si>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</si>
  <si>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</si>
  <si>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</si>
  <si>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</si>
  <si>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</si>
  <si>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</si>
  <si>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</si>
  <si>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</si>
  <si>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</si>
  <si>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</si>
  <si>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</si>
  <si>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</si>
  <si>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</si>
  <si>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</si>
  <si>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</si>
  <si>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</si>
  <si>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</si>
  <si>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</si>
  <si>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</si>
  <si>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</si>
  <si>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</si>
  <si>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</si>
  <si>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</si>
  <si>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</si>
  <si>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</si>
  <si>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</si>
  <si>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</si>
  <si>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</si>
  <si>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</si>
  <si>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</si>
  <si>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</si>
  <si>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</si>
  <si>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</si>
  <si>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</si>
  <si>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</si>
  <si>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</si>
  <si>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</si>
  <si>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</si>
  <si>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</si>
  <si>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</si>
  <si>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</si>
  <si>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</si>
  <si>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</si>
  <si>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</si>
  <si>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</si>
  <si>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</si>
  <si>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</si>
  <si>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</si>
  <si>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</si>
  <si>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</si>
  <si>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</si>
  <si>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</si>
  <si>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</si>
  <si>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</si>
  <si>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</si>
  <si>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</si>
  <si>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</si>
  <si>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</si>
  <si>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</si>
  <si>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</si>
  <si>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</si>
  <si>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</si>
  <si>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</si>
  <si>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</si>
  <si>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</si>
  <si>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</si>
  <si>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</si>
  <si>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</si>
  <si>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</si>
  <si>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</si>
  <si>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</si>
  <si>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</si>
  <si>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</si>
  <si>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</si>
  <si>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</si>
  <si>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</si>
  <si>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</si>
  <si>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</si>
  <si>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</si>
  <si>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</si>
  <si>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</si>
  <si>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</si>
  <si>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</si>
  <si>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</si>
  <si>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</si>
  <si>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</si>
  <si>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</si>
  <si>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</si>
  <si>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</si>
  <si>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</si>
  <si>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</si>
  <si>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</si>
  <si>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</si>
  <si>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</si>
  <si>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</si>
  <si>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</si>
  <si>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</si>
  <si>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</si>
  <si>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</si>
  <si>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</si>
  <si>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</si>
  <si>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</si>
  <si>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</si>
  <si>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</si>
  <si>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</si>
  <si>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</si>
  <si>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</si>
  <si>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</si>
  <si>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</si>
  <si>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</si>
  <si>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</si>
  <si>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</si>
  <si>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</si>
  <si>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</si>
  <si>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</si>
  <si>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</si>
  <si>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</si>
  <si>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</si>
  <si>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</si>
  <si>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</si>
  <si>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</si>
  <si>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</si>
  <si>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</si>
  <si>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</si>
  <si>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</si>
  <si>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</si>
  <si>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</si>
  <si>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</si>
  <si>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</si>
  <si>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</si>
  <si>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</si>
  <si>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</si>
  <si>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</si>
  <si>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</si>
  <si>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</si>
  <si>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</si>
  <si>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</si>
  <si>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</si>
  <si>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</si>
  <si>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</si>
  <si>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</si>
  <si>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</si>
  <si>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</si>
  <si>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</si>
  <si>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</si>
  <si>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</si>
  <si>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</si>
  <si>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</si>
  <si>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</si>
  <si>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</si>
  <si>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</si>
  <si>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</si>
  <si>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</si>
  <si>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</si>
  <si>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</si>
  <si>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</si>
  <si>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</si>
  <si>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</si>
  <si>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</si>
  <si>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</si>
  <si>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</si>
  <si>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</si>
  <si>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</si>
  <si>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</si>
  <si>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</si>
  <si>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</si>
  <si>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</si>
  <si>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</si>
  <si>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</si>
  <si>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</si>
  <si>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</si>
  <si>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</si>
  <si>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</si>
  <si>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</si>
  <si>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</si>
  <si>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</si>
  <si>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</si>
  <si>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</si>
  <si>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</si>
  <si>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</si>
  <si>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</si>
  <si>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</si>
  <si>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</si>
  <si>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</si>
  <si>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</si>
  <si>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</si>
  <si>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</si>
  <si>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</si>
  <si>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</si>
  <si>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</si>
  <si>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</si>
  <si>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</si>
  <si>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</si>
  <si>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</si>
  <si>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</si>
  <si>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</si>
  <si>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</si>
  <si>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</si>
  <si>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</si>
  <si>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</si>
  <si>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</si>
  <si>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</si>
  <si>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</si>
  <si>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</si>
  <si>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</si>
  <si>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</si>
  <si>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</si>
  <si>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</si>
  <si>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</si>
  <si>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</si>
  <si>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</si>
  <si>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</si>
  <si>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</si>
  <si>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</si>
  <si>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</si>
  <si>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</si>
  <si>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</si>
  <si>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</si>
  <si>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</si>
  <si>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</si>
  <si>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</si>
  <si>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</si>
  <si>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</si>
  <si>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</si>
  <si>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</si>
  <si>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</si>
  <si>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</si>
  <si>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</si>
  <si>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</si>
  <si>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</si>
  <si>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</si>
  <si>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</si>
  <si>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</si>
  <si>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</si>
  <si>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</si>
  <si>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</si>
  <si>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</si>
  <si>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</si>
  <si>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</si>
  <si>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</si>
  <si>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</si>
  <si>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</si>
  <si>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</si>
  <si>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</si>
  <si>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</si>
  <si>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</si>
  <si>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</si>
  <si>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</si>
  <si>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</si>
  <si>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</si>
  <si>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</si>
  <si>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</si>
  <si>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</si>
  <si>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</si>
  <si>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</si>
  <si>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</si>
  <si>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</si>
  <si>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</si>
  <si>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</si>
  <si>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</si>
  <si>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</si>
  <si>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</si>
  <si>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</si>
  <si>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</si>
  <si>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</si>
  <si>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</si>
  <si>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</si>
  <si>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</si>
  <si>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</si>
  <si>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</si>
  <si>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</si>
  <si>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</si>
  <si>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</si>
  <si>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</si>
  <si>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</si>
  <si>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</si>
  <si>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</si>
  <si>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</si>
  <si>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</si>
  <si>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</si>
  <si>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</si>
  <si>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</si>
  <si>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</si>
  <si>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</si>
  <si>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</si>
  <si>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</si>
  <si>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</si>
  <si>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</si>
  <si>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</si>
  <si>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</si>
  <si>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</si>
  <si>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</si>
  <si>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</si>
  <si>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</si>
  <si>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</si>
  <si>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</si>
  <si>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</si>
  <si>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</si>
  <si>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</si>
  <si>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</si>
  <si>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</si>
  <si>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</si>
  <si>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</si>
  <si>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</si>
  <si>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</si>
  <si>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</si>
  <si>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</si>
  <si>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</si>
  <si>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</si>
  <si>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</si>
  <si>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</si>
  <si>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</si>
  <si>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</si>
  <si>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</si>
  <si>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</si>
  <si>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</si>
  <si>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</si>
  <si>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</si>
  <si>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</si>
  <si>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</si>
  <si>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</si>
  <si>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</si>
  <si>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</si>
  <si>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</si>
  <si>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</si>
  <si>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</si>
  <si>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</si>
  <si>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</si>
  <si>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</si>
  <si>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</si>
  <si>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</si>
  <si>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</si>
  <si>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</si>
  <si>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</si>
  <si>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</si>
  <si>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</si>
  <si>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</si>
  <si>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</si>
  <si>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</si>
  <si>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</si>
  <si>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</si>
  <si>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</si>
  <si>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</si>
  <si>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</si>
  <si>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</si>
  <si>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</si>
  <si>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</si>
  <si>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</si>
  <si>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</si>
  <si>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</si>
  <si>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</si>
  <si>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</si>
  <si>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</si>
  <si>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</si>
  <si>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</si>
  <si>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</si>
  <si>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</si>
  <si>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</si>
  <si>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</si>
  <si>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</si>
  <si>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</si>
  <si>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</si>
  <si>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</si>
  <si>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</si>
  <si>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</si>
  <si>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</si>
  <si>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</si>
  <si>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</si>
  <si>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</si>
  <si>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</si>
  <si>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</si>
  <si>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</si>
  <si>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</si>
  <si>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</si>
  <si>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</si>
  <si>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</si>
  <si>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</si>
  <si>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</si>
  <si>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</si>
  <si>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</si>
  <si>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</si>
  <si>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</si>
  <si>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</si>
  <si>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</si>
  <si>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</si>
  <si>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</si>
  <si>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</si>
  <si>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</si>
  <si>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</si>
  <si>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</si>
  <si>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</si>
  <si>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</si>
  <si>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</si>
  <si>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</si>
  <si>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</si>
  <si>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</si>
  <si>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</si>
  <si>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</si>
  <si>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</si>
  <si>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</si>
  <si>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</si>
  <si>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</si>
  <si>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</si>
  <si>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</si>
  <si>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</si>
  <si>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</si>
  <si>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</si>
  <si>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</si>
  <si>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</si>
  <si>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</si>
  <si>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</si>
  <si>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</si>
  <si>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</si>
  <si>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</si>
  <si>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</si>
  <si>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</si>
  <si>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</si>
  <si>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</si>
  <si>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</si>
  <si>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</si>
  <si>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</si>
  <si>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</si>
  <si>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</si>
  <si>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</si>
  <si>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</si>
  <si>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</si>
  <si>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</si>
  <si>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</si>
  <si>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</si>
  <si>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</si>
  <si>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</si>
  <si>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</si>
  <si>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</si>
  <si>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</si>
  <si>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</si>
  <si>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</si>
  <si>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</si>
  <si>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</si>
  <si>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</si>
  <si>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</si>
  <si>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</si>
  <si>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</si>
  <si>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</si>
  <si>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</si>
  <si>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</si>
  <si>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</si>
  <si>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</si>
  <si>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</si>
  <si>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</si>
  <si>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</si>
  <si>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</si>
  <si>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</si>
  <si>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</si>
  <si>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</si>
  <si>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</si>
  <si>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</si>
  <si>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</si>
  <si>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</si>
  <si>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</si>
  <si>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</si>
  <si>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</si>
  <si>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</si>
  <si>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</si>
  <si>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</si>
  <si>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</si>
  <si>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</si>
  <si>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</si>
  <si>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</si>
  <si>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</si>
  <si>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</si>
  <si>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</si>
  <si>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</si>
  <si>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</si>
  <si>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</si>
  <si>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</si>
  <si>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</si>
  <si>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</si>
  <si>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</si>
  <si>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</si>
  <si>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</si>
  <si>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</si>
  <si>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</si>
  <si>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</si>
  <si>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</si>
  <si>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</si>
  <si>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</si>
  <si>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</si>
  <si>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</si>
  <si>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</si>
  <si>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</si>
  <si>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</si>
  <si>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</si>
  <si>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</si>
  <si>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</si>
  <si>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</si>
  <si>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</si>
  <si>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</si>
  <si>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</si>
  <si>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</si>
  <si>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</si>
  <si>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</si>
  <si>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</si>
  <si>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</si>
  <si>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</si>
  <si>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</si>
  <si>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</si>
  <si>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</si>
  <si>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</si>
  <si>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</si>
  <si>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</si>
  <si>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</si>
  <si>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</si>
  <si>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</si>
  <si>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</si>
  <si>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</si>
  <si>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</si>
  <si>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</si>
  <si>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</si>
  <si>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</si>
  <si>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</si>
  <si>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</si>
  <si>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</si>
  <si>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</si>
  <si>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</si>
  <si>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</si>
  <si>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</si>
  <si>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</si>
  <si>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</si>
  <si>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</si>
  <si>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</si>
  <si>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</si>
  <si>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</si>
  <si>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</si>
  <si>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</si>
  <si>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</si>
  <si>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</si>
  <si>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</si>
  <si>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</si>
  <si>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</si>
  <si>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</si>
  <si>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</si>
  <si>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</si>
  <si>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</si>
  <si>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</si>
  <si>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</si>
  <si>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</si>
  <si>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</si>
  <si>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</si>
  <si>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</si>
  <si>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</si>
  <si>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</si>
  <si>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</si>
  <si>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</si>
  <si>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</si>
  <si>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</si>
  <si>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</si>
  <si>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</si>
  <si>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</si>
  <si>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</si>
  <si>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</si>
  <si>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</si>
  <si>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</si>
  <si>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</si>
  <si>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</si>
  <si>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</si>
  <si>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</si>
  <si>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</si>
  <si>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</si>
  <si>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</si>
  <si>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</si>
  <si>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</si>
  <si>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</si>
  <si>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</si>
  <si>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</si>
  <si>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</si>
  <si>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</si>
  <si>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</si>
  <si>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</si>
  <si>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</si>
  <si>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</si>
  <si>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</si>
  <si>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</si>
  <si>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</si>
  <si>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</si>
  <si>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</si>
  <si>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</si>
  <si>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</si>
  <si>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</si>
  <si>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</si>
  <si>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</si>
  <si>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</si>
  <si>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</si>
  <si>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</si>
  <si>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</si>
  <si>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</si>
  <si>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</si>
  <si>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</si>
  <si>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</si>
  <si>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</si>
  <si>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</si>
  <si>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</si>
  <si>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</si>
  <si>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</si>
  <si>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</si>
  <si>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</si>
  <si>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</si>
  <si>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</si>
  <si>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</si>
  <si>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</si>
  <si>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</si>
  <si>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</si>
  <si>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</si>
  <si>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</si>
  <si>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</si>
  <si>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</si>
  <si>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</si>
  <si>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</si>
  <si>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</si>
  <si>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</si>
  <si>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</si>
  <si>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</si>
  <si>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</si>
  <si>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</si>
  <si>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</si>
  <si>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</si>
  <si>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</si>
  <si>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</si>
  <si>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</si>
  <si>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</si>
  <si>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</si>
  <si>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</si>
  <si>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</si>
  <si>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</si>
  <si>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</si>
  <si>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</si>
  <si>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</si>
  <si>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</si>
  <si>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</si>
  <si>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</si>
  <si>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</si>
  <si>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</si>
  <si>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</si>
  <si>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</si>
  <si>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</si>
  <si>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</si>
  <si>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</si>
  <si>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</si>
  <si>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</si>
  <si>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</si>
  <si>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</si>
  <si>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</si>
  <si>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</si>
  <si>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</si>
  <si>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</si>
  <si>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</si>
  <si>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</si>
  <si>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</si>
  <si>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</si>
  <si>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</si>
  <si>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</si>
  <si>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</si>
  <si>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</si>
  <si>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</si>
  <si>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</si>
  <si>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</si>
  <si>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</si>
  <si>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</si>
  <si>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</si>
  <si>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</si>
  <si>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</si>
  <si>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</si>
  <si>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</si>
  <si>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</si>
  <si>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</si>
  <si>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</si>
  <si>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</si>
  <si>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</si>
  <si>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</si>
  <si>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</si>
  <si>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</si>
  <si>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</si>
  <si>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</si>
  <si>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</si>
  <si>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</si>
  <si>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</si>
  <si>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</si>
  <si>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</si>
  <si>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</si>
  <si>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</si>
  <si>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</si>
  <si>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</si>
  <si>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</si>
  <si>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</si>
  <si>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</si>
  <si>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</si>
  <si>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</si>
  <si>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</si>
  <si>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</si>
  <si>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</si>
  <si>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</si>
  <si>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</si>
  <si>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</si>
  <si>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</si>
  <si>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</si>
  <si>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</si>
  <si>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</si>
  <si>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</si>
  <si>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</si>
  <si>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</si>
  <si>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</si>
  <si>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</si>
  <si>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</si>
  <si>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</si>
  <si>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</si>
  <si>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</si>
  <si>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</si>
  <si>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</si>
  <si>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</si>
  <si>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</si>
  <si>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</si>
  <si>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</si>
  <si>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</si>
  <si>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</si>
  <si>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</si>
  <si>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</si>
  <si>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</si>
  <si>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</si>
  <si>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</si>
  <si>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</si>
  <si>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</si>
  <si>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</si>
  <si>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</si>
  <si>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</si>
  <si>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</si>
  <si>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</si>
  <si>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</si>
  <si>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</si>
  <si>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</si>
  <si>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</si>
  <si>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</si>
  <si>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</si>
  <si>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</si>
  <si>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</si>
  <si>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</si>
  <si>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</si>
  <si>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</si>
  <si>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</si>
  <si>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</si>
  <si>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</si>
  <si>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</si>
  <si>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</si>
  <si>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</si>
  <si>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</si>
  <si>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</si>
  <si>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</si>
  <si>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</si>
  <si>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</si>
  <si>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</si>
  <si>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</si>
  <si>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</si>
  <si>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</si>
  <si>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</si>
  <si>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</si>
  <si>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</si>
  <si>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</si>
  <si>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</si>
  <si>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</si>
  <si>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</si>
  <si>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</si>
  <si>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</si>
  <si>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</si>
  <si>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</si>
  <si>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</si>
  <si>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</si>
  <si>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</si>
  <si>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</si>
  <si>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</si>
  <si>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</si>
  <si>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</si>
  <si>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</si>
  <si>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</si>
  <si>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</si>
  <si>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</si>
  <si>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</si>
  <si>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</si>
  <si>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</si>
  <si>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</si>
  <si>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</si>
  <si>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</si>
  <si>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</si>
  <si>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</si>
  <si>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</si>
  <si>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</si>
  <si>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</si>
  <si>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</si>
  <si>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</si>
  <si>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</si>
  <si>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</si>
  <si>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</si>
  <si>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</si>
  <si>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</si>
  <si>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</si>
  <si>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</si>
  <si>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</si>
  <si>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</si>
  <si>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</si>
  <si>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</si>
  <si>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</si>
  <si>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</si>
  <si>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</si>
  <si>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</si>
  <si>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</si>
  <si>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</si>
  <si>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</si>
  <si>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</si>
  <si>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</si>
  <si>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</si>
  <si>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</si>
  <si>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</si>
  <si>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</si>
  <si>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</si>
  <si>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</si>
  <si>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</si>
  <si>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</si>
  <si>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</si>
  <si>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</si>
  <si>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</si>
  <si>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</si>
  <si>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</si>
  <si>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</si>
  <si>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</si>
  <si>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</si>
  <si>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</si>
  <si>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</si>
  <si>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</si>
  <si>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</si>
  <si>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</si>
  <si>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</si>
  <si>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</si>
  <si>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</si>
  <si>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</si>
  <si>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</si>
  <si>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</si>
  <si>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</si>
  <si>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</si>
  <si>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</si>
  <si>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</si>
  <si>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</si>
  <si>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</si>
  <si>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</si>
  <si>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</si>
  <si>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</si>
  <si>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</si>
  <si>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</si>
  <si>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</si>
  <si>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</si>
  <si>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</si>
  <si>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</si>
  <si>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</si>
  <si>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</si>
  <si>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</si>
  <si>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</si>
  <si>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</si>
  <si>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</si>
  <si>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</si>
  <si>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</si>
  <si>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</si>
  <si>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</si>
  <si>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</si>
  <si>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</si>
  <si>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</si>
  <si>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</si>
  <si>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</si>
  <si>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</si>
  <si>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</si>
  <si>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</si>
  <si>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</si>
  <si>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</si>
  <si>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</si>
  <si>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</si>
  <si>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</si>
  <si>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</si>
  <si>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</si>
  <si>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</si>
  <si>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</si>
  <si>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</si>
  <si>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</si>
  <si>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</si>
  <si>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</si>
  <si>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</si>
  <si>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</si>
  <si>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</si>
  <si>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</si>
  <si>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</si>
  <si>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</si>
  <si>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</si>
  <si>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</si>
  <si>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</si>
  <si>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</si>
  <si>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</si>
  <si>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</si>
  <si>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</si>
  <si>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</si>
  <si>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</si>
  <si>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</si>
  <si>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</si>
  <si>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</si>
  <si>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</si>
  <si>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</si>
  <si>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</si>
  <si>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</si>
  <si>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</si>
  <si>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</si>
  <si>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</si>
  <si>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</si>
  <si>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</si>
  <si>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</si>
  <si>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</si>
  <si>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</si>
  <si>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</si>
  <si>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</si>
  <si>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</si>
  <si>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</si>
  <si>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</si>
  <si>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</si>
  <si>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</si>
  <si>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</si>
  <si>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</si>
  <si>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</si>
  <si>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</si>
  <si>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</si>
  <si>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</si>
  <si>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</si>
  <si>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</si>
  <si>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</si>
  <si>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</si>
  <si>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</si>
  <si>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</si>
  <si>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</si>
  <si>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</si>
  <si>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</si>
  <si>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</si>
  <si>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</si>
  <si>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</si>
  <si>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</si>
  <si>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</si>
  <si>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</si>
  <si>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</si>
  <si>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</si>
  <si>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</si>
  <si>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</si>
  <si>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</si>
  <si>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</si>
  <si>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</si>
  <si>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</si>
  <si>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</si>
  <si>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</si>
  <si>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</si>
  <si>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</si>
  <si>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</si>
  <si>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</si>
  <si>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</si>
  <si>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</si>
  <si>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</si>
  <si>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</si>
  <si>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</si>
  <si>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</si>
  <si>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</si>
  <si>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</si>
  <si>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</si>
  <si>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</si>
  <si>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</si>
  <si>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</si>
  <si>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</si>
  <si>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</si>
  <si>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</si>
  <si>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</si>
  <si>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</si>
  <si>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</si>
  <si>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</si>
  <si>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</si>
  <si>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</si>
  <si>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</si>
  <si>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</si>
  <si>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</si>
  <si>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</si>
  <si>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</si>
  <si>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</si>
  <si>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</si>
  <si>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</si>
  <si>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</si>
  <si>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</si>
  <si>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</si>
  <si>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</si>
  <si>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</si>
  <si>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</si>
  <si>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</si>
  <si>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</si>
  <si>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</si>
  <si>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</si>
  <si>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</si>
  <si>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</si>
  <si>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</si>
  <si>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</si>
  <si>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</si>
  <si>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</si>
  <si>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</si>
  <si>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</si>
  <si>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</si>
  <si>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</si>
  <si>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</si>
  <si>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</si>
  <si>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</si>
  <si>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</si>
  <si>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</si>
  <si>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</si>
  <si>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</si>
  <si>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</si>
  <si>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</si>
  <si>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</si>
  <si>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</si>
  <si>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</si>
  <si>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</si>
  <si>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</si>
  <si>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</si>
  <si>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</si>
  <si>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</si>
  <si>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</si>
  <si>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</si>
  <si>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</si>
  <si>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</si>
  <si>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</si>
  <si>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</si>
  <si>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</si>
  <si>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</si>
  <si>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</si>
  <si>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</si>
  <si>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</si>
  <si>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</si>
  <si>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</si>
  <si>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</si>
  <si>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</si>
  <si>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</si>
  <si>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</si>
  <si>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</si>
  <si>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</si>
  <si>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</si>
  <si>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</si>
  <si>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</si>
  <si>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</si>
  <si>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</si>
  <si>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</si>
  <si>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</si>
  <si>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</si>
  <si>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</si>
  <si>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</si>
  <si>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</si>
  <si>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</si>
  <si>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</si>
  <si>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</si>
  <si>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</si>
  <si>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</si>
  <si>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</si>
  <si>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</si>
  <si>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</si>
  <si>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</si>
  <si>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</si>
  <si>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</si>
  <si>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</si>
  <si>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</si>
  <si>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</si>
  <si>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</si>
  <si>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</si>
  <si>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</si>
  <si>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</si>
  <si>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</si>
  <si>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</si>
  <si>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</si>
  <si>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</si>
  <si>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</si>
  <si>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</si>
  <si>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</si>
  <si>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</si>
  <si>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</si>
  <si>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</si>
  <si>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</si>
  <si>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</si>
  <si>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</si>
  <si>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</si>
  <si>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</si>
  <si>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</si>
  <si>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</si>
  <si>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</si>
  <si>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</si>
  <si>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</si>
  <si>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</si>
  <si>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</si>
  <si>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</si>
  <si>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</si>
  <si>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</si>
  <si>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</si>
  <si>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</si>
  <si>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</si>
  <si>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</si>
  <si>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</si>
  <si>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</si>
  <si>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</si>
  <si>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</si>
  <si>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</si>
  <si>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</si>
  <si>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</si>
  <si>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</si>
  <si>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</si>
  <si>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</si>
  <si>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</si>
  <si>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</si>
  <si>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</si>
  <si>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</si>
  <si>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</si>
  <si>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</si>
  <si>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</si>
  <si>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</si>
  <si>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</si>
  <si>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</si>
  <si>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</si>
  <si>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</si>
  <si>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</si>
  <si>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</si>
  <si>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</si>
  <si>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</si>
  <si>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</si>
  <si>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</si>
  <si>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</si>
  <si>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</si>
  <si>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</si>
  <si>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</si>
  <si>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</si>
  <si>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</si>
  <si>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</si>
  <si>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</si>
  <si>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</si>
  <si>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</si>
  <si>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</si>
  <si>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</si>
  <si>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</si>
  <si>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</si>
  <si>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</si>
  <si>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</si>
  <si>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</si>
  <si>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</si>
  <si>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</si>
  <si>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</si>
  <si>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</si>
  <si>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</si>
  <si>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</si>
  <si>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</si>
  <si>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</si>
  <si>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</si>
  <si>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</si>
  <si>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</si>
  <si>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</si>
  <si>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</si>
  <si>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</si>
  <si>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</si>
  <si>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</si>
  <si>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</si>
  <si>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</si>
  <si>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</si>
  <si>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</si>
  <si>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</si>
  <si>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</si>
  <si>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</si>
  <si>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</si>
  <si>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</si>
  <si>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</si>
  <si>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</si>
  <si>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</si>
  <si>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</si>
  <si>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</si>
  <si>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</si>
  <si>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</si>
  <si>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</si>
  <si>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</si>
  <si>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</si>
  <si>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</si>
  <si>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</si>
  <si>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</si>
  <si>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</si>
  <si>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</si>
  <si>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</si>
  <si>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</si>
  <si>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</si>
  <si>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</si>
  <si>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</si>
  <si>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</si>
  <si>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</si>
  <si>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</si>
  <si>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</si>
  <si>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</si>
  <si>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</si>
  <si>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</si>
  <si>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</si>
  <si>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</si>
  <si>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</si>
  <si>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</si>
  <si>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</si>
  <si>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</si>
  <si>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</si>
  <si>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</si>
  <si>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</si>
  <si>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</si>
  <si>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</si>
  <si>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</si>
  <si>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</si>
  <si>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</si>
  <si>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</si>
  <si>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</si>
  <si>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</si>
  <si>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</si>
  <si>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</si>
  <si>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</si>
  <si>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</si>
  <si>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</si>
  <si>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</si>
  <si>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</si>
  <si>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</si>
  <si>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</si>
  <si>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</si>
  <si>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</si>
  <si>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</si>
  <si>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</si>
  <si>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</si>
  <si>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</si>
  <si>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</si>
  <si>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</si>
  <si>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</si>
  <si>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</si>
  <si>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</si>
  <si>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</si>
  <si>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</si>
  <si>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</si>
  <si>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</si>
  <si>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</si>
  <si>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</si>
  <si>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</si>
  <si>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</si>
  <si>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</si>
  <si>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</si>
  <si>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</si>
  <si>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</si>
  <si>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</si>
  <si>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</si>
  <si>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</si>
  <si>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</si>
  <si>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</si>
  <si>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</si>
  <si>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</si>
  <si>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</si>
  <si>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</si>
  <si>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</si>
  <si>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</si>
  <si>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</si>
  <si>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</si>
  <si>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</si>
  <si>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</si>
  <si>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</si>
  <si>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</si>
  <si>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</si>
  <si>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</si>
  <si>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</si>
  <si>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</si>
  <si>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</si>
  <si>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</si>
  <si>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</si>
  <si>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</si>
  <si>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</si>
  <si>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</si>
  <si>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</si>
  <si>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</si>
  <si>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</si>
  <si>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</si>
  <si>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</si>
  <si>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</si>
  <si>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</si>
  <si>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</si>
  <si>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</si>
  <si>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</si>
  <si>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</si>
  <si>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</si>
  <si>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</si>
  <si>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</si>
  <si>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</si>
  <si>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</si>
  <si>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</si>
  <si>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</si>
  <si>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</si>
  <si>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</si>
  <si>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</si>
  <si>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</si>
  <si>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</si>
  <si>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</si>
  <si>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</si>
  <si>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</si>
  <si>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</si>
  <si>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</si>
  <si>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</si>
  <si>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</si>
  <si>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</si>
  <si>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</si>
  <si>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</si>
  <si>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</si>
  <si>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</si>
  <si>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</si>
  <si>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</si>
  <si>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</si>
  <si>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</si>
  <si>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</si>
  <si>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</si>
  <si>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</si>
  <si>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</si>
  <si>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</si>
  <si>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</si>
  <si>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</si>
  <si>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</si>
  <si>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</si>
  <si>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</si>
  <si>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</si>
  <si>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</si>
  <si>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</si>
  <si>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</si>
  <si>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</si>
  <si>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</si>
  <si>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</si>
  <si>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</si>
  <si>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</si>
  <si>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</si>
  <si>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</si>
  <si>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</si>
  <si>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</si>
  <si>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</si>
  <si>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</si>
  <si>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</si>
  <si>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</si>
  <si>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</si>
  <si>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</si>
  <si>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</si>
  <si>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</si>
  <si>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</si>
  <si>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</si>
  <si>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</si>
  <si>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</si>
  <si>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</si>
  <si>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</si>
  <si>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</si>
  <si>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</si>
  <si>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</si>
  <si>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</si>
  <si>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</si>
  <si>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</si>
  <si>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</si>
  <si>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</si>
  <si>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</si>
  <si>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</si>
  <si>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</si>
  <si>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</si>
  <si>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</si>
  <si>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</si>
  <si>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</si>
  <si>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</si>
  <si>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</si>
  <si>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</si>
  <si>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</si>
  <si>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</si>
  <si>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</si>
  <si>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</si>
  <si>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</si>
  <si>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</si>
  <si>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</si>
  <si>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</si>
  <si>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</si>
  <si>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</si>
  <si>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</si>
  <si>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</si>
  <si>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</si>
  <si>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</si>
  <si>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</si>
  <si>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</si>
  <si>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</si>
  <si>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</si>
  <si>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</si>
  <si>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</si>
  <si>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</si>
  <si>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</si>
  <si>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</si>
  <si>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</si>
  <si>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</si>
  <si>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</si>
  <si>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</si>
  <si>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</si>
  <si>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</si>
  <si>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</si>
  <si>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</si>
  <si>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</si>
  <si>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</si>
  <si>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</si>
  <si>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</si>
  <si>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</si>
  <si>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</si>
  <si>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</si>
  <si>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</si>
  <si>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</si>
  <si>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</si>
  <si>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</si>
  <si>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</si>
  <si>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</si>
  <si>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</si>
  <si>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</si>
  <si>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</si>
  <si>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</si>
  <si>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</si>
  <si>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</si>
  <si>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</si>
  <si>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</si>
  <si>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</si>
  <si>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</si>
  <si>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</si>
  <si>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</si>
  <si>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</si>
  <si>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</si>
  <si>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</si>
  <si>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</si>
  <si>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</si>
  <si>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</si>
  <si>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</si>
  <si>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</si>
  <si>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</si>
  <si>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</si>
  <si>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</si>
  <si>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</si>
  <si>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</si>
  <si>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</si>
  <si>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</si>
  <si>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</si>
  <si>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</si>
  <si>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</si>
  <si>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</si>
  <si>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</si>
  <si>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</si>
  <si>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</si>
  <si>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</si>
  <si>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</si>
  <si>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</si>
  <si>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</si>
  <si>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</si>
  <si>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</si>
  <si>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</si>
  <si>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</si>
  <si>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</si>
  <si>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</si>
  <si>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</si>
  <si>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</si>
  <si>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</si>
  <si>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</si>
  <si>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</si>
  <si>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</si>
  <si>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</si>
  <si>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</si>
  <si>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</si>
  <si>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</si>
  <si>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</si>
  <si>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</si>
  <si>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</si>
  <si>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</si>
  <si>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</si>
  <si>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</si>
  <si>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</si>
  <si>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</si>
  <si>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</si>
  <si>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</si>
  <si>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</si>
  <si>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</si>
  <si>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</si>
  <si>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</si>
  <si>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</si>
  <si>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</si>
  <si>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</si>
  <si>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</si>
  <si>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</si>
  <si>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</si>
  <si>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</si>
  <si>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</si>
  <si>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</si>
  <si>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</si>
  <si>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</si>
  <si>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</si>
  <si>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</si>
  <si>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</si>
  <si>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</si>
  <si>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</si>
  <si>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</si>
  <si>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</si>
  <si>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</si>
  <si>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</si>
  <si>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</si>
  <si>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</si>
  <si>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</si>
  <si>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</si>
  <si>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</si>
  <si>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</si>
  <si>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</si>
  <si>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</si>
  <si>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</si>
  <si>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</si>
  <si>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</si>
  <si>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</si>
  <si>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</si>
  <si>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</si>
  <si>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</si>
  <si>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</si>
  <si>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</si>
  <si>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</si>
  <si>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</si>
  <si>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</si>
  <si>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</si>
  <si>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</si>
  <si>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</si>
  <si>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</si>
  <si>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</si>
  <si>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</si>
  <si>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</si>
  <si>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</si>
  <si>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</si>
  <si>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</si>
  <si>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</si>
  <si>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</si>
  <si>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</si>
  <si>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</si>
  <si>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</si>
  <si>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</si>
  <si>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</si>
  <si>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</si>
  <si>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</si>
  <si>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</si>
  <si>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</si>
  <si>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</si>
  <si>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</si>
  <si>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</si>
  <si>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</si>
  <si>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</si>
  <si>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</si>
  <si>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</si>
  <si>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</si>
  <si>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</si>
  <si>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</si>
  <si>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</si>
  <si>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</si>
  <si>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</si>
  <si>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</si>
  <si>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</si>
  <si>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</si>
  <si>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</si>
  <si>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</si>
  <si>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</si>
  <si>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</si>
  <si>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</si>
  <si>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</si>
  <si>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</si>
  <si>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</si>
  <si>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</si>
  <si>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</si>
  <si>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</si>
  <si>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</si>
  <si>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</si>
  <si>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</si>
  <si>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</si>
  <si>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</si>
  <si>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</si>
  <si>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</si>
  <si>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</si>
  <si>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</si>
  <si>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</si>
  <si>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</si>
  <si>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</si>
  <si>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</si>
  <si>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</si>
  <si>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</si>
  <si>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</si>
  <si>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</si>
  <si>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</si>
  <si>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</si>
  <si>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</si>
  <si>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</si>
  <si>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</si>
  <si>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</si>
  <si>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</si>
  <si>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</si>
  <si>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</si>
  <si>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</si>
  <si>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</si>
  <si>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</si>
  <si>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</si>
  <si>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</si>
  <si>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</si>
  <si>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</si>
  <si>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</si>
  <si>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</si>
  <si>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</si>
  <si>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</si>
  <si>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</si>
  <si>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</si>
  <si>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</si>
  <si>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</si>
  <si>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</si>
  <si>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</si>
  <si>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</si>
  <si>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</si>
  <si>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</si>
  <si>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</si>
  <si>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</si>
  <si>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</si>
  <si>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</si>
  <si>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</si>
  <si>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</si>
  <si>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</si>
  <si>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</si>
  <si>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</si>
  <si>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</si>
  <si>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</si>
  <si>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</si>
  <si>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</si>
  <si>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</si>
  <si>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</si>
  <si>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</si>
  <si>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</si>
  <si>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</si>
  <si>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</si>
  <si>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</si>
  <si>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</si>
  <si>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</si>
  <si>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</si>
  <si>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</si>
  <si>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</si>
  <si>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</si>
  <si>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</si>
  <si>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</si>
  <si>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</si>
  <si>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</si>
  <si>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</si>
  <si>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</si>
  <si>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</si>
  <si>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</si>
  <si>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</si>
  <si>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</si>
  <si>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</si>
  <si>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</si>
  <si>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</si>
  <si>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</si>
  <si>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</si>
  <si>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</si>
  <si>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</si>
  <si>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</si>
  <si>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</si>
  <si>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</si>
  <si>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</si>
  <si>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</si>
  <si>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</si>
  <si>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</si>
  <si>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</si>
  <si>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</si>
  <si>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</si>
  <si>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</si>
  <si>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</si>
  <si>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</si>
  <si>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</si>
  <si>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</si>
  <si>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</si>
  <si>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</si>
  <si>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</si>
  <si>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</si>
  <si>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</si>
  <si>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</si>
  <si>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</si>
  <si>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</si>
  <si>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</si>
  <si>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</si>
  <si>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</si>
  <si>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</si>
  <si>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</si>
  <si>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</si>
  <si>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</si>
  <si>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</si>
  <si>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</si>
  <si>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</si>
  <si>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</si>
  <si>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</si>
  <si>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</si>
  <si>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</si>
  <si>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</si>
  <si>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</si>
  <si>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</si>
  <si>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</si>
  <si>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</si>
  <si>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</si>
  <si>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</si>
  <si>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</si>
  <si>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</si>
  <si>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</si>
  <si>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</si>
  <si>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</si>
  <si>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</si>
  <si>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</si>
  <si>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</si>
  <si>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</si>
  <si>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</si>
  <si>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</si>
  <si>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</si>
  <si>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</si>
  <si>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</si>
  <si>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</si>
  <si>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</si>
  <si>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</si>
  <si>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</si>
  <si>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</si>
  <si>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</si>
  <si>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</si>
  <si>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</si>
  <si>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</si>
  <si>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</si>
  <si>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</si>
  <si>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</si>
  <si>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</si>
  <si>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</si>
  <si>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</si>
  <si>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</si>
  <si>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</si>
  <si>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</si>
  <si>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</si>
  <si>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</si>
  <si>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</si>
  <si>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</si>
  <si>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</si>
  <si>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</si>
  <si>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</si>
  <si>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</si>
  <si>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</si>
  <si>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</si>
  <si>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</si>
  <si>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</si>
  <si>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</si>
  <si>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</si>
  <si>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</si>
  <si>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</si>
  <si>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</si>
  <si>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</si>
  <si>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</si>
  <si>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</si>
  <si>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</si>
  <si>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</si>
  <si>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</si>
  <si>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</si>
  <si>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</si>
  <si>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</si>
  <si>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</si>
  <si>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</si>
  <si>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</si>
  <si>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</si>
  <si>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</si>
  <si>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</si>
  <si>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</si>
  <si>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</si>
  <si>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</si>
  <si>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</si>
  <si>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</si>
  <si>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</si>
  <si>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</si>
  <si>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</si>
  <si>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</si>
  <si>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</si>
  <si>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</si>
  <si>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</si>
  <si>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</si>
  <si>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</si>
  <si>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</si>
  <si>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</si>
  <si>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</si>
  <si>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</si>
  <si>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</si>
  <si>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</si>
  <si>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</si>
  <si>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</si>
  <si>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</si>
  <si>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</si>
  <si>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</si>
  <si>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</si>
  <si>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</si>
  <si>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</si>
  <si>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</si>
  <si>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</si>
  <si>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</si>
  <si>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</si>
  <si>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</si>
  <si>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</si>
  <si>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</si>
  <si>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</si>
  <si>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</si>
  <si>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</si>
  <si>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</si>
  <si>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</si>
  <si>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</si>
  <si>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</si>
  <si>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</si>
  <si>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</si>
  <si>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</si>
  <si>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</si>
  <si>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</si>
  <si>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</si>
  <si>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</si>
  <si>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</si>
  <si>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</si>
  <si>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</si>
  <si>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</si>
  <si>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</si>
  <si>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</si>
  <si>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</si>
  <si>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</si>
  <si>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</si>
  <si>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</si>
  <si>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</si>
  <si>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</si>
  <si>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</si>
  <si>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</si>
  <si>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</si>
  <si>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</si>
  <si>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</si>
  <si>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</si>
  <si>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</si>
  <si>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</si>
  <si>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</si>
  <si>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</si>
  <si>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</si>
  <si>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</si>
  <si>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</si>
  <si>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</si>
  <si>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</si>
  <si>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</si>
  <si>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</si>
  <si>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</si>
  <si>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</si>
  <si>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</si>
  <si>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</si>
  <si>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</si>
  <si>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</si>
  <si>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</si>
  <si>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</si>
  <si>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</si>
  <si>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</si>
  <si>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</si>
  <si>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</si>
  <si>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</si>
  <si>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</si>
  <si>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</si>
  <si>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</si>
  <si>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</si>
  <si>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</si>
  <si>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</si>
  <si>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</si>
  <si>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</si>
  <si>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</si>
  <si>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</si>
  <si>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</si>
  <si>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</si>
  <si>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</si>
  <si>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</si>
  <si>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</si>
  <si>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</si>
  <si>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</si>
  <si>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</si>
  <si>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</si>
  <si>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</si>
  <si>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</si>
  <si>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</si>
  <si>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</si>
  <si>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</si>
  <si>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</si>
  <si>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</si>
  <si>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</si>
  <si>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</si>
  <si>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</si>
  <si>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</si>
  <si>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</si>
  <si>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</si>
  <si>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</si>
  <si>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</si>
  <si>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</si>
  <si>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</si>
  <si>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</si>
  <si>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</si>
  <si>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</si>
  <si>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</si>
  <si>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</si>
  <si>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</si>
  <si>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</si>
  <si>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</si>
  <si>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</si>
  <si>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</si>
  <si>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</si>
  <si>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</si>
  <si>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</si>
  <si>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</si>
  <si>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</si>
  <si>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</si>
  <si>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</si>
  <si>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</si>
  <si>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</si>
  <si>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</si>
  <si>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</si>
  <si>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</si>
  <si>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</si>
  <si>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</si>
  <si>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</si>
  <si>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</si>
  <si>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</si>
  <si>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</si>
  <si>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</si>
  <si>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</si>
  <si>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</si>
  <si>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</si>
  <si>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</si>
  <si>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</si>
  <si>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</si>
  <si>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</si>
  <si>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</si>
  <si>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</si>
  <si>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</si>
  <si>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</si>
  <si>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</si>
  <si>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</si>
  <si>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</si>
  <si>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</si>
  <si>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</si>
  <si>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</si>
  <si>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</si>
  <si>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</si>
  <si>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</si>
  <si>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</si>
  <si>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</si>
  <si>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</si>
  <si>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</si>
  <si>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</si>
  <si>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</si>
  <si>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</si>
  <si>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</si>
  <si>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</si>
  <si>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</si>
  <si>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</si>
  <si>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</si>
  <si>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</si>
  <si>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</si>
  <si>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</si>
  <si>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</si>
  <si>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</si>
  <si>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</si>
  <si>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</si>
  <si>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</si>
  <si>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</si>
  <si>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</si>
  <si>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</si>
  <si>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</si>
  <si>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</si>
  <si>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</si>
  <si>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</si>
  <si>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</si>
  <si>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</si>
  <si>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</si>
  <si>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</si>
  <si>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</si>
  <si>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</si>
  <si>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</si>
  <si>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</si>
  <si>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</si>
  <si>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</si>
  <si>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</si>
  <si>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</si>
  <si>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</si>
  <si>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</si>
  <si>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</si>
  <si>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</si>
  <si>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</si>
  <si>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</si>
  <si>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</si>
  <si>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</si>
  <si>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</si>
  <si>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</si>
  <si>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</si>
  <si>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</si>
  <si>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</si>
  <si>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</si>
  <si>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</si>
  <si>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</si>
  <si>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</si>
  <si>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</si>
  <si>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</si>
  <si>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</si>
  <si>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</si>
  <si>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</si>
  <si>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</si>
  <si>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</si>
  <si>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</si>
  <si>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</si>
  <si>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</si>
  <si>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</si>
  <si>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</si>
  <si>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</si>
  <si>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</si>
  <si>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</si>
  <si>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</si>
  <si>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</si>
  <si>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</si>
  <si>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</si>
  <si>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</si>
  <si>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</si>
  <si>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</si>
  <si>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</si>
  <si>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</si>
  <si>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</si>
  <si>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</si>
  <si>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</si>
  <si>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</si>
  <si>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</si>
  <si>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</si>
  <si>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</si>
  <si>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</si>
  <si>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</si>
  <si>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</si>
  <si>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</si>
  <si>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</si>
  <si>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</si>
  <si>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</si>
  <si>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</si>
  <si>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</si>
  <si>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</si>
  <si>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</si>
  <si>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</si>
  <si>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</si>
  <si>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</si>
  <si>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</si>
  <si>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</si>
  <si>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</si>
  <si>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</si>
  <si>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</si>
  <si>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</si>
  <si>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</si>
  <si>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</si>
  <si>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</si>
  <si>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</si>
  <si>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</si>
  <si>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</si>
  <si>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</si>
  <si>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</si>
  <si>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</si>
  <si>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</si>
  <si>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</si>
  <si>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</si>
  <si>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</si>
  <si>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</si>
  <si>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</si>
  <si>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</si>
  <si>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</si>
  <si>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</si>
  <si>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</si>
  <si>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</si>
  <si>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</si>
  <si>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</si>
  <si>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</si>
  <si>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</si>
  <si>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</si>
  <si>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</si>
  <si>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</si>
  <si>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</si>
  <si>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</si>
  <si>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</si>
  <si>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</si>
  <si>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</si>
  <si>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</si>
  <si>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</si>
  <si>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</si>
  <si>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</si>
  <si>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</si>
  <si>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</si>
  <si>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</si>
  <si>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</si>
  <si>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</si>
  <si>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</si>
  <si>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</si>
  <si>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</si>
  <si>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</si>
  <si>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</si>
  <si>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</si>
  <si>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</si>
  <si>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</si>
  <si>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</si>
  <si>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</si>
  <si>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</si>
  <si>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</si>
  <si>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</si>
  <si>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</si>
  <si>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</si>
  <si>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</si>
  <si>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</si>
  <si>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</si>
  <si>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</si>
  <si>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</si>
  <si>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</si>
  <si>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</si>
  <si>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</si>
  <si>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</si>
  <si>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</si>
  <si>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</si>
  <si>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</si>
  <si>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</si>
  <si>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</si>
  <si>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</si>
  <si>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</si>
  <si>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</si>
  <si>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</si>
  <si>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</si>
  <si>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</si>
  <si>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</si>
  <si>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</si>
  <si>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</si>
  <si>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</si>
  <si>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</si>
  <si>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</si>
  <si>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</si>
  <si>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</si>
  <si>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</si>
  <si>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</si>
  <si>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</si>
  <si>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</si>
  <si>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</si>
  <si>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</si>
  <si>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</si>
  <si>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</si>
  <si>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</si>
  <si>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</si>
  <si>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</si>
  <si>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</si>
  <si>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</si>
  <si>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</si>
  <si>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</si>
  <si>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</si>
  <si>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</si>
  <si>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</si>
  <si>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</si>
  <si>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</si>
  <si>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</si>
  <si>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</si>
  <si>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</si>
  <si>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</si>
  <si>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</si>
  <si>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</si>
  <si>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</si>
  <si>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</si>
  <si>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</si>
  <si>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</si>
  <si>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</si>
  <si>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</si>
  <si>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</si>
  <si>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</si>
  <si>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</si>
  <si>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</si>
  <si>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</si>
  <si>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</si>
  <si>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</si>
  <si>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</si>
  <si>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</si>
  <si>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</si>
  <si>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</si>
  <si>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</si>
  <si>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</si>
  <si>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</si>
  <si>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</si>
  <si>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</si>
  <si>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</si>
  <si>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</si>
  <si>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</si>
  <si>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</si>
  <si>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</si>
  <si>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</si>
  <si>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</si>
  <si>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</si>
  <si>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</si>
  <si>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</si>
  <si>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</si>
  <si>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</si>
  <si>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</si>
  <si>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</si>
  <si>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</si>
  <si>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</si>
  <si>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</si>
  <si>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</si>
  <si>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</si>
  <si>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</si>
  <si>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</si>
  <si>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</si>
  <si>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</si>
  <si>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</si>
  <si>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</si>
  <si>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</si>
  <si>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</si>
  <si>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</si>
  <si>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</si>
  <si>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</si>
  <si>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</si>
  <si>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</si>
  <si>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</si>
  <si>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</si>
  <si>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</si>
  <si>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</si>
  <si>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</si>
  <si>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</si>
  <si>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</si>
  <si>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</si>
  <si>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</si>
  <si>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</si>
  <si>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</si>
  <si>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</si>
  <si>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</si>
  <si>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</si>
  <si>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</si>
  <si>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</si>
  <si>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</si>
  <si>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</si>
  <si>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</si>
  <si>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</si>
  <si>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</si>
  <si>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</si>
  <si>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</si>
  <si>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</si>
  <si>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</si>
  <si>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</si>
  <si>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</si>
  <si>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</si>
  <si>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</si>
  <si>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</si>
  <si>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</si>
  <si>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</si>
  <si>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</si>
  <si>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</si>
  <si>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</si>
  <si>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</si>
  <si>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</si>
  <si>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</si>
  <si>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</si>
  <si>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</si>
  <si>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</si>
  <si>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</si>
  <si>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</si>
  <si>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</si>
  <si>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</si>
  <si>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</si>
  <si>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</si>
  <si>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</si>
  <si>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</si>
  <si>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</si>
  <si>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</si>
  <si>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</si>
  <si>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</si>
  <si>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</si>
  <si>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</si>
  <si>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</si>
  <si>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</si>
  <si>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</si>
  <si>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</si>
  <si>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</si>
  <si>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</si>
  <si>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</si>
  <si>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</si>
  <si>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</si>
  <si>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</si>
  <si>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</si>
  <si>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</si>
  <si>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</si>
  <si>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</si>
  <si>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</si>
  <si>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</si>
  <si>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</si>
  <si>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</si>
  <si>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</si>
  <si>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</si>
  <si>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</si>
  <si>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</si>
  <si>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</si>
  <si>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</si>
  <si>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</si>
  <si>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</si>
  <si>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</si>
  <si>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</si>
  <si>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</si>
  <si>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</si>
  <si>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</si>
  <si>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</si>
  <si>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</si>
  <si>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</si>
  <si>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</si>
  <si>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</si>
  <si>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</si>
  <si>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</si>
  <si>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</si>
  <si>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</si>
  <si>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</si>
  <si>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</si>
  <si>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</si>
  <si>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</si>
  <si>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</si>
  <si>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</si>
  <si>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</si>
  <si>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</si>
  <si>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</si>
  <si>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</si>
  <si>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</si>
  <si>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</si>
  <si>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</si>
  <si>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</si>
  <si>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</si>
  <si>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</si>
  <si>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</si>
  <si>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</si>
  <si>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</si>
  <si>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</si>
  <si>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</si>
  <si>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</si>
  <si>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</si>
  <si>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</si>
  <si>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</si>
  <si>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</si>
  <si>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</si>
  <si>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</si>
  <si>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</si>
  <si>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</si>
  <si>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</si>
  <si>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</si>
  <si>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</si>
  <si>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</si>
  <si>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</si>
  <si>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</si>
  <si>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</si>
  <si>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</si>
  <si>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</si>
  <si>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</si>
  <si>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</si>
  <si>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</si>
  <si>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</si>
  <si>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</si>
  <si>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</si>
  <si>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</si>
  <si>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</si>
  <si>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</si>
  <si>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</si>
  <si>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</si>
  <si>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</si>
  <si>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</si>
  <si>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</si>
  <si>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</si>
  <si>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</si>
  <si>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</si>
  <si>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</si>
  <si>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</si>
  <si>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</si>
  <si>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</si>
  <si>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</si>
  <si>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</si>
  <si>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</si>
  <si>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</si>
  <si>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</si>
  <si>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</si>
  <si>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</si>
  <si>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</si>
  <si>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</si>
  <si>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</si>
  <si>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</si>
  <si>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</si>
  <si>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</si>
  <si>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</si>
  <si>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</si>
  <si>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</si>
  <si>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</si>
  <si>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</si>
  <si>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</si>
  <si>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</si>
  <si>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</si>
  <si>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</si>
  <si>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</si>
  <si>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</si>
  <si>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</si>
  <si>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</si>
  <si>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</si>
  <si>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</si>
  <si>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</si>
  <si>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</si>
  <si>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</si>
  <si>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</si>
  <si>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</si>
  <si>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</si>
  <si>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</si>
  <si>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</si>
  <si>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</si>
  <si>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</si>
  <si>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</si>
  <si>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</si>
  <si>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</si>
  <si>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</si>
  <si>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</si>
  <si>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</si>
  <si>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</si>
  <si>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</si>
  <si>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</si>
  <si>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</si>
  <si>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</si>
  <si>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</si>
  <si>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</si>
  <si>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</si>
  <si>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</si>
  <si>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</si>
  <si>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</si>
  <si>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</si>
  <si>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</si>
  <si>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</si>
  <si>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</si>
  <si>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</si>
  <si>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</si>
  <si>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</si>
  <si>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</si>
  <si>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</si>
  <si>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</si>
  <si>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</si>
  <si>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</si>
  <si>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</si>
  <si>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</si>
  <si>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</si>
  <si>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</si>
  <si>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</si>
  <si>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</si>
  <si>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</si>
  <si>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</si>
  <si>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</si>
  <si>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</si>
  <si>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</si>
  <si>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</si>
  <si>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</si>
  <si>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</si>
  <si>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</si>
  <si>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</si>
  <si>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</si>
  <si>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</si>
  <si>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</si>
  <si>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</si>
  <si>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</si>
  <si>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</si>
  <si>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</si>
  <si>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</si>
  <si>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</si>
  <si>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</si>
  <si>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</si>
  <si>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</si>
  <si>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</si>
  <si>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</si>
  <si>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</si>
  <si>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</si>
  <si>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</si>
  <si>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</si>
  <si>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</si>
  <si>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</si>
  <si>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</si>
  <si>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</si>
  <si>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</si>
  <si>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</si>
  <si>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</si>
  <si>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</si>
  <si>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</si>
  <si>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</si>
  <si>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</si>
  <si>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</si>
  <si>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</si>
  <si>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</si>
  <si>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</si>
  <si>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</si>
  <si>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</si>
  <si>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</si>
  <si>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</si>
  <si>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</si>
  <si>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</si>
  <si>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</si>
  <si>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</si>
  <si>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</si>
  <si>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</si>
  <si>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</si>
  <si>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</si>
  <si>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</si>
  <si>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</si>
  <si>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</si>
  <si>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</si>
  <si>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</si>
  <si>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</si>
  <si>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</si>
  <si>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</si>
  <si>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</si>
  <si>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</si>
  <si>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</si>
  <si>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</si>
  <si>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</si>
  <si>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</si>
  <si>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</si>
  <si>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</si>
  <si>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</si>
  <si>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</si>
  <si>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</si>
  <si>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</si>
  <si>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</si>
  <si>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</si>
  <si>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</si>
  <si>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</si>
  <si>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</si>
  <si>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</si>
  <si>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</si>
  <si>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</si>
  <si>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</si>
  <si>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</si>
  <si>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</si>
  <si>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</si>
  <si>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</si>
  <si>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</si>
  <si>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</si>
  <si>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</si>
  <si>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</si>
  <si>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</si>
  <si>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</si>
  <si>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</si>
  <si>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</si>
  <si>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</si>
  <si>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</si>
  <si>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</si>
  <si>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</si>
  <si>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</si>
  <si>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</si>
  <si>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</si>
  <si>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</si>
  <si>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</si>
  <si>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</si>
  <si>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</si>
  <si>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</si>
  <si>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</si>
  <si>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</si>
  <si>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</si>
  <si>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</si>
  <si>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</si>
  <si>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</si>
  <si>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</si>
  <si>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</si>
  <si>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</si>
  <si>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</si>
  <si>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</si>
  <si>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</si>
  <si>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</si>
  <si>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</si>
  <si>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</si>
  <si>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</si>
  <si>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</si>
  <si>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</si>
  <si>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</si>
  <si>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</si>
  <si>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</si>
  <si>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</si>
  <si>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</si>
  <si>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</si>
  <si>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</si>
  <si>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</si>
  <si>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</si>
  <si>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</si>
  <si>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</si>
  <si>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</si>
  <si>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</si>
  <si>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</si>
  <si>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</si>
  <si>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</si>
  <si>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</si>
  <si>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</si>
  <si>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</si>
  <si>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</si>
  <si>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</si>
  <si>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</si>
  <si>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</si>
  <si>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</si>
  <si>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</si>
  <si>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</si>
  <si>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</si>
  <si>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</si>
  <si>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</si>
  <si>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</si>
  <si>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</si>
  <si>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</si>
  <si>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</si>
  <si>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</si>
  <si>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</si>
  <si>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</si>
  <si>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</si>
  <si>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</si>
  <si>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</si>
  <si>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</si>
  <si>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</si>
  <si>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</si>
  <si>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</si>
  <si>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</si>
  <si>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</si>
  <si>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</si>
  <si>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</si>
  <si>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</si>
  <si>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</si>
  <si>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</si>
  <si>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</si>
  <si>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</si>
  <si>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</si>
  <si>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</si>
  <si>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</si>
  <si>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</si>
  <si>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</si>
  <si>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</si>
  <si>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</si>
  <si>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</si>
  <si>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</si>
  <si>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</si>
  <si>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</si>
  <si>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</si>
  <si>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</si>
  <si>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</si>
  <si>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</si>
  <si>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</si>
  <si>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</si>
  <si>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</si>
  <si>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</si>
  <si>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</si>
  <si>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</si>
  <si>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</si>
  <si>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</si>
  <si>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</si>
  <si>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</si>
  <si>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</si>
  <si>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</si>
  <si>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</si>
  <si>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</si>
  <si>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</si>
  <si>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</si>
  <si>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</si>
  <si>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</si>
  <si>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</si>
  <si>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</si>
  <si>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</si>
  <si>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</si>
  <si>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</si>
  <si>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</si>
  <si>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</si>
  <si>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</si>
  <si>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</si>
  <si>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</si>
  <si>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</si>
  <si>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</si>
  <si>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</si>
  <si>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</si>
  <si>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</si>
  <si>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</si>
  <si>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</si>
  <si>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</si>
  <si>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</si>
  <si>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</si>
  <si>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</si>
  <si>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</si>
  <si>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</si>
  <si>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</si>
  <si>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</si>
  <si>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</si>
  <si>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</si>
  <si>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</si>
  <si>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</si>
  <si>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</si>
  <si>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</si>
  <si>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</si>
  <si>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</si>
  <si>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</si>
  <si>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</si>
  <si>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</si>
  <si>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</si>
  <si>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</si>
  <si>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</si>
  <si>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</si>
  <si>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</si>
  <si>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</si>
  <si>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</si>
  <si>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</si>
  <si>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</si>
  <si>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</si>
  <si>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</si>
  <si>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</si>
  <si>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</si>
  <si>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</si>
  <si>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</si>
  <si>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</si>
  <si>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</si>
  <si>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</si>
  <si>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</si>
  <si>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</si>
  <si>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</si>
  <si>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</si>
  <si>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</si>
  <si>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</si>
  <si>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</si>
  <si>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</si>
  <si>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</si>
  <si>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</si>
  <si>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</si>
  <si>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</si>
  <si>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</si>
  <si>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</si>
  <si>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</si>
  <si>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</si>
  <si>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</si>
  <si>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</si>
  <si>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</si>
  <si>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</si>
  <si>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</si>
  <si>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</si>
  <si>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</si>
  <si>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</si>
  <si>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</si>
  <si>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</si>
  <si>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</si>
  <si>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</si>
  <si>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</si>
  <si>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</si>
  <si>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</si>
  <si>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</si>
  <si>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</si>
  <si>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</si>
  <si>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</si>
  <si>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</si>
  <si>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</si>
  <si>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</si>
  <si>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</si>
  <si>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</si>
  <si>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</si>
  <si>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</si>
  <si>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</si>
  <si>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</si>
  <si>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</si>
  <si>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</si>
  <si>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</si>
  <si>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</si>
  <si>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</si>
  <si>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</si>
  <si>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</si>
  <si>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</si>
  <si>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</si>
  <si>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</si>
  <si>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</si>
  <si>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</si>
  <si>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</si>
  <si>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</si>
  <si>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</si>
  <si>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</si>
  <si>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</si>
  <si>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</si>
  <si>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</si>
  <si>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</si>
  <si>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</si>
  <si>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</si>
  <si>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</si>
  <si>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</si>
  <si>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</si>
  <si>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</si>
  <si>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</si>
  <si>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</si>
  <si>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</si>
  <si>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</si>
  <si>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</si>
  <si>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</si>
  <si>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</si>
  <si>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</si>
  <si>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</si>
  <si>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</si>
  <si>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</si>
  <si>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</si>
  <si>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</si>
  <si>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</si>
  <si>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</si>
  <si>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</si>
  <si>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</si>
  <si>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</si>
  <si>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</si>
  <si>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</si>
  <si>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</si>
  <si>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</si>
  <si>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</si>
  <si>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</si>
  <si>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</si>
  <si>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</si>
  <si>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</si>
  <si>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</si>
  <si>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</si>
  <si>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</si>
  <si>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</si>
  <si>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</si>
  <si>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</si>
  <si>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</si>
  <si>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</si>
  <si>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</si>
  <si>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</si>
  <si>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</si>
  <si>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</si>
  <si>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</si>
  <si>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</si>
  <si>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</si>
  <si>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</si>
  <si>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</si>
  <si>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</si>
  <si>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</si>
  <si>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</si>
  <si>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</si>
  <si>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</si>
  <si>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</si>
  <si>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</si>
  <si>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</si>
  <si>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</si>
  <si>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</si>
  <si>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</si>
  <si>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</si>
  <si>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</si>
  <si>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</si>
  <si>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</si>
  <si>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</si>
  <si>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</si>
  <si>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</si>
  <si>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</si>
  <si>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</si>
  <si>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</si>
  <si>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</si>
  <si>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</si>
  <si>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</si>
  <si>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</si>
  <si>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</si>
  <si>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</si>
  <si>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</si>
  <si>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</si>
  <si>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</si>
  <si>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</si>
  <si>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</si>
  <si>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</si>
  <si>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</si>
  <si>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</si>
  <si>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</si>
  <si>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</si>
  <si>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</si>
  <si>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</si>
  <si>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</si>
  <si>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</si>
  <si>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</si>
  <si>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</si>
  <si>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</si>
  <si>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</si>
  <si>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</si>
  <si>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</si>
  <si>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</si>
  <si>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</si>
  <si>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</si>
  <si>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</si>
  <si>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</si>
  <si>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</si>
  <si>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</si>
  <si>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</si>
  <si>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</si>
  <si>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</si>
  <si>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</si>
  <si>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</si>
  <si>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</si>
  <si>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</si>
  <si>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</si>
  <si>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</si>
  <si>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</si>
  <si>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</si>
  <si>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</si>
  <si>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</si>
  <si>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</si>
  <si>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</si>
  <si>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</si>
  <si>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</si>
  <si>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</si>
  <si>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</si>
  <si>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</si>
  <si>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</si>
  <si>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</si>
  <si>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</si>
  <si>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</si>
  <si>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</si>
  <si>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</si>
  <si>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</si>
  <si>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</si>
  <si>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</si>
  <si>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</si>
  <si>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</si>
  <si>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</si>
  <si>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</si>
  <si>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</si>
  <si>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</si>
  <si>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</si>
  <si>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</si>
  <si>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</si>
  <si>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</si>
  <si>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</si>
  <si>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</si>
  <si>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</si>
  <si>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</si>
  <si>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</si>
  <si>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</si>
  <si>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</si>
  <si>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</si>
  <si>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</si>
  <si>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</si>
  <si>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</si>
  <si>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</si>
  <si>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</si>
  <si>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</si>
  <si>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</si>
  <si>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</si>
  <si>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</si>
  <si>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</si>
  <si>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</si>
  <si>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</si>
  <si>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</si>
  <si>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</si>
  <si>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</si>
  <si>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</si>
  <si>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</si>
  <si>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</si>
  <si>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</si>
  <si>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</si>
  <si>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</si>
  <si>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</si>
  <si>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</si>
  <si>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</si>
  <si>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</si>
  <si>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</si>
  <si>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</si>
  <si>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</si>
  <si>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</si>
  <si>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</si>
  <si>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</si>
  <si>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</si>
  <si>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</si>
  <si>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</si>
  <si>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</si>
  <si>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</si>
  <si>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</si>
  <si>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</si>
  <si>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</si>
  <si>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</si>
  <si>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</si>
  <si>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</si>
  <si>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</si>
  <si>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</si>
  <si>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</si>
  <si>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</si>
  <si>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</si>
  <si>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</si>
  <si>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</si>
  <si>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</si>
  <si>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</si>
  <si>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</si>
  <si>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</si>
  <si>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</si>
  <si>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</si>
  <si>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</si>
  <si>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</si>
  <si>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</si>
  <si>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</si>
  <si>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</si>
  <si>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</si>
  <si>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</si>
  <si>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</si>
  <si>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</si>
  <si>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</si>
  <si>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</si>
  <si>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</si>
  <si>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</si>
  <si>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</si>
  <si>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</si>
  <si>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</si>
  <si>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</si>
  <si>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</si>
  <si>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</si>
  <si>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</si>
  <si>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</si>
  <si>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</si>
  <si>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</si>
  <si>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</si>
  <si>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</si>
  <si>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</si>
  <si>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</si>
  <si>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</si>
  <si>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</si>
  <si>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</si>
  <si>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</si>
  <si>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</si>
  <si>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</si>
  <si>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</si>
  <si>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</si>
  <si>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</si>
  <si>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</si>
  <si>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</si>
  <si>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</si>
  <si>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</si>
  <si>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</si>
  <si>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</si>
  <si>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</si>
  <si>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</si>
  <si>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</si>
  <si>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</si>
  <si>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</si>
  <si>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</si>
  <si>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</si>
  <si>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</si>
  <si>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</si>
  <si>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</si>
  <si>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</si>
  <si>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</si>
  <si>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</si>
  <si>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</si>
  <si>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</si>
  <si>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</si>
  <si>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</si>
  <si>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</si>
  <si>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</si>
  <si>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</si>
  <si>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</si>
  <si>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</si>
  <si>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</si>
  <si>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</si>
  <si>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</si>
  <si>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</si>
  <si>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</si>
  <si>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</si>
  <si>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</si>
  <si>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</si>
  <si>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</si>
  <si>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</si>
  <si>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</si>
  <si>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</si>
  <si>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</si>
  <si>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</si>
  <si>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</si>
  <si>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</si>
  <si>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</si>
  <si>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</si>
  <si>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</si>
  <si>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</si>
  <si>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</si>
  <si>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</si>
  <si>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</si>
  <si>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</si>
  <si>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</si>
  <si>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</si>
  <si>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</si>
  <si>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</si>
  <si>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</si>
  <si>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</si>
  <si>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</si>
  <si>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</si>
  <si>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</si>
  <si>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</si>
  <si>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</si>
  <si>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</si>
  <si>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</si>
  <si>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</si>
  <si>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</si>
  <si>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</si>
  <si>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</si>
  <si>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</si>
  <si>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</si>
  <si>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</si>
  <si>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</si>
  <si>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</si>
  <si>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</si>
  <si>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</si>
  <si>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</si>
  <si>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</si>
  <si>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</si>
  <si>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</si>
  <si>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</si>
  <si>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</si>
  <si>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</si>
  <si>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</si>
  <si>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</si>
  <si>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</si>
  <si>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</si>
  <si>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</si>
  <si>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</si>
  <si>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</si>
  <si>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</si>
  <si>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</si>
  <si>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</si>
  <si>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</si>
  <si>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</si>
  <si>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</si>
  <si>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</si>
  <si>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</si>
  <si>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</si>
  <si>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</si>
  <si>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</si>
  <si>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</si>
  <si>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</si>
  <si>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</si>
  <si>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</si>
  <si>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</si>
  <si>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</si>
  <si>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</si>
  <si>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</si>
  <si>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</si>
  <si>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</si>
  <si>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</si>
  <si>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</si>
  <si>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</si>
  <si>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</si>
  <si>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</si>
  <si>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</si>
  <si>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</si>
  <si>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</si>
  <si>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</si>
  <si>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</si>
  <si>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</si>
  <si>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</si>
  <si>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</si>
  <si>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</si>
  <si>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</si>
  <si>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</si>
  <si>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</si>
  <si>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</si>
  <si>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</si>
  <si>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</si>
  <si>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</si>
  <si>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</si>
  <si>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</si>
  <si>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</si>
  <si>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</si>
  <si>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</si>
  <si>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</si>
  <si>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</si>
  <si>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</si>
  <si>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</si>
  <si>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</si>
  <si>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</si>
  <si>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</si>
  <si>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</si>
  <si>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</si>
  <si>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</si>
  <si>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</si>
  <si>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</si>
  <si>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</si>
  <si>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</si>
  <si>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</si>
  <si>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</si>
  <si>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</si>
  <si>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</si>
  <si>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</si>
  <si>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</si>
  <si>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</si>
  <si>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</si>
  <si>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</si>
  <si>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</si>
  <si>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</si>
  <si>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</si>
  <si>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</si>
  <si>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</si>
  <si>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</si>
  <si>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</si>
  <si>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</si>
  <si>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</si>
  <si>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</si>
  <si>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</si>
  <si>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</si>
  <si>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</si>
  <si>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</si>
  <si>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</si>
  <si>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</si>
  <si>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</si>
  <si>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</si>
  <si>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</si>
  <si>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</si>
  <si>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</si>
  <si>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</si>
  <si>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</si>
  <si>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</si>
  <si>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</si>
  <si>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</si>
  <si>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</si>
  <si>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</si>
  <si>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</si>
  <si>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</si>
  <si>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</si>
  <si>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</si>
  <si>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</si>
  <si>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</si>
  <si>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</si>
  <si>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</si>
  <si>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</si>
  <si>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</si>
  <si>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</si>
  <si>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</si>
  <si>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</si>
  <si>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</si>
  <si>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</si>
  <si>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</si>
  <si>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</si>
  <si>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</si>
  <si>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</si>
  <si>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</si>
  <si>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</si>
  <si>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</si>
  <si>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</si>
  <si>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</si>
  <si>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</si>
  <si>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</si>
  <si>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</si>
  <si>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</si>
  <si>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</si>
  <si>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</si>
  <si>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</si>
  <si>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</si>
  <si>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</si>
  <si>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</si>
  <si>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</si>
  <si>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</si>
  <si>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</si>
  <si>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</si>
  <si>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</si>
  <si>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</si>
  <si>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</si>
  <si>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</si>
  <si>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</si>
  <si>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</si>
  <si>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</si>
  <si>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</si>
  <si>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</si>
  <si>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</si>
  <si>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</si>
  <si>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</si>
  <si>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</si>
  <si>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</si>
  <si>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</si>
  <si>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</si>
  <si>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</si>
  <si>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</si>
  <si>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</si>
  <si>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</si>
  <si>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</si>
  <si>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</si>
  <si>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</si>
  <si>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</si>
  <si>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</si>
  <si>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</si>
  <si>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</si>
  <si>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</si>
  <si>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</si>
  <si>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</si>
  <si>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</si>
  <si>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</si>
  <si>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</si>
  <si>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</si>
  <si>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</si>
  <si>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</si>
  <si>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</si>
  <si>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</si>
  <si>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</si>
  <si>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</si>
  <si>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</si>
  <si>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</si>
  <si>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</si>
  <si>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</si>
  <si>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</si>
  <si>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</si>
  <si>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</si>
  <si>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</si>
  <si>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</si>
  <si>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</si>
  <si>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</si>
  <si>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</si>
  <si>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</si>
  <si>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</si>
  <si>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</si>
  <si>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</si>
  <si>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</si>
  <si>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</si>
  <si>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</si>
  <si>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</si>
  <si>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</si>
  <si>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</si>
  <si>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</si>
  <si>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</si>
  <si>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</si>
  <si>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</si>
  <si>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</si>
  <si>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</si>
  <si>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</si>
  <si>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</si>
  <si>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</si>
  <si>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</si>
  <si>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</si>
  <si>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</si>
  <si>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</si>
  <si>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</si>
  <si>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</si>
  <si>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</si>
  <si>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</si>
  <si>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</si>
  <si>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</si>
  <si>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</si>
  <si>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</si>
  <si>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</si>
  <si>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</si>
  <si>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</si>
  <si>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</si>
  <si>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</si>
  <si>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</si>
  <si>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</si>
  <si>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</si>
  <si>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</si>
  <si>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</si>
  <si>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</si>
  <si>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</si>
  <si>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</si>
  <si>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</si>
  <si>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</si>
  <si>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</si>
  <si>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</si>
  <si>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</si>
  <si>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</si>
  <si>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</si>
  <si>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</si>
  <si>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</si>
  <si>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</si>
  <si>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</si>
  <si>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</si>
  <si>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</si>
  <si>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</si>
  <si>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</si>
  <si>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</si>
  <si>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</si>
  <si>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</si>
  <si>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</si>
  <si>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</si>
  <si>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</si>
  <si>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</si>
  <si>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</si>
  <si>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</si>
  <si>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</si>
  <si>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</si>
  <si>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</si>
  <si>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</si>
  <si>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</si>
  <si>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</si>
  <si>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</si>
  <si>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</si>
  <si>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</si>
  <si>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</si>
  <si>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</si>
  <si>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</si>
  <si>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</si>
  <si>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</si>
  <si>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</si>
  <si>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</si>
  <si>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</si>
  <si>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</si>
  <si>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</si>
  <si>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</si>
  <si>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</si>
  <si>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</si>
  <si>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</si>
  <si>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</si>
  <si>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</si>
  <si>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</si>
  <si>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</si>
  <si>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</si>
  <si>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</si>
  <si>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</si>
  <si>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</si>
  <si>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</si>
  <si>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</si>
  <si>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</si>
  <si>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</si>
  <si>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</si>
  <si>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</si>
  <si>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</si>
  <si>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</si>
  <si>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</si>
  <si>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</si>
  <si>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</si>
  <si>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</si>
  <si>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</si>
  <si>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</si>
  <si>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</si>
  <si>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</si>
  <si>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</si>
  <si>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</si>
  <si>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</si>
  <si>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</si>
  <si>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</si>
  <si>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</si>
  <si>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</si>
  <si>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</si>
  <si>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</si>
  <si>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</si>
  <si>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</si>
  <si>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</si>
  <si>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</si>
  <si>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</si>
  <si>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</si>
  <si>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</si>
  <si>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</si>
  <si>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</si>
  <si>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</si>
  <si>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</si>
  <si>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</si>
  <si>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</si>
  <si>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</si>
  <si>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</si>
  <si>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</si>
  <si>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</si>
  <si>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</si>
  <si>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</si>
  <si>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</si>
  <si>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</si>
  <si>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</si>
  <si>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</si>
  <si>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</si>
  <si>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</si>
  <si>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</si>
  <si>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</si>
  <si>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</si>
  <si>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</si>
  <si>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</si>
  <si>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</si>
  <si>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</si>
  <si>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</si>
  <si>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</si>
  <si>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</si>
  <si>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</si>
  <si>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</si>
  <si>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</si>
  <si>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</si>
  <si>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</si>
  <si>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</si>
  <si>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</si>
  <si>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</si>
  <si>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</si>
  <si>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</si>
  <si>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</si>
  <si>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</si>
  <si>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</si>
  <si>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</si>
  <si>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</si>
  <si>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</si>
  <si>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</si>
  <si>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</si>
  <si>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</si>
  <si>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</si>
  <si>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</si>
  <si>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</si>
  <si>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</si>
  <si>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</si>
  <si>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</si>
  <si>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</si>
  <si>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</si>
  <si>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</si>
  <si>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</si>
  <si>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</si>
  <si>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</si>
  <si>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</si>
  <si>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</si>
  <si>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</si>
  <si>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</si>
  <si>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</si>
  <si>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</si>
  <si>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</si>
  <si>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</si>
  <si>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</si>
  <si>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</si>
  <si>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</si>
  <si>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</si>
  <si>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</si>
  <si>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</si>
  <si>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</si>
  <si>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</si>
  <si>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</si>
  <si>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</si>
  <si>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</si>
  <si>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</si>
  <si>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</si>
  <si>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</si>
  <si>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</si>
  <si>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</si>
  <si>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</si>
  <si>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</si>
  <si>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</si>
  <si>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</si>
  <si>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</si>
  <si>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</si>
  <si>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</si>
  <si>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</si>
  <si>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</si>
  <si>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</si>
  <si>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</si>
  <si>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</si>
  <si>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</si>
  <si>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</si>
  <si>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</si>
  <si>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</si>
  <si>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</si>
  <si>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</si>
  <si>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</si>
  <si>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</si>
  <si>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</si>
  <si>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</si>
  <si>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</si>
  <si>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</si>
  <si>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</si>
  <si>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</si>
  <si>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</si>
  <si>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</si>
  <si>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</si>
  <si>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</si>
  <si>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</si>
  <si>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</si>
  <si>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</si>
  <si>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</si>
  <si>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</si>
  <si>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</si>
  <si>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</si>
  <si>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</si>
  <si>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</si>
  <si>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</si>
  <si>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</si>
  <si>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</si>
  <si>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</si>
  <si>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</si>
  <si>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</si>
  <si>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</si>
  <si>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</si>
  <si>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</si>
  <si>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</si>
  <si>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</si>
  <si>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</si>
  <si>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</si>
  <si>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</si>
  <si>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</si>
  <si>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</si>
  <si>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</si>
  <si>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</si>
  <si>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</si>
  <si>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</si>
  <si>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</si>
  <si>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</si>
  <si>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</si>
  <si>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</si>
  <si>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</si>
  <si>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</si>
  <si>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</si>
  <si>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</si>
  <si>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</si>
  <si>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</si>
  <si>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</si>
  <si>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</si>
  <si>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</si>
  <si>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</si>
  <si>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</si>
  <si>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</si>
  <si>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</si>
  <si>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</si>
  <si>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</si>
  <si>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</si>
  <si>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</si>
  <si>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</si>
  <si>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</si>
  <si>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</si>
  <si>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</si>
  <si>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</si>
  <si>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</si>
  <si>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</si>
  <si>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</si>
  <si>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</si>
  <si>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</si>
  <si>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</si>
  <si>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</si>
  <si>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</si>
  <si>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</si>
  <si>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</si>
  <si>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</si>
  <si>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</si>
  <si>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</si>
  <si>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</si>
  <si>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</si>
  <si>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</si>
  <si>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</si>
  <si>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</si>
  <si>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</si>
  <si>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</si>
  <si>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</si>
  <si>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</si>
  <si>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</si>
  <si>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</si>
  <si>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</si>
  <si>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</si>
  <si>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</si>
  <si>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</si>
  <si>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</si>
  <si>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</si>
  <si>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</si>
  <si>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</si>
  <si>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</si>
  <si>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</si>
  <si>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</si>
  <si>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</si>
  <si>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</si>
  <si>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</si>
  <si>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</si>
  <si>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</si>
  <si>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</si>
  <si>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</si>
  <si>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</si>
  <si>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</si>
  <si>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</si>
  <si>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</si>
  <si>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</si>
  <si>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</si>
  <si>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</si>
  <si>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</si>
  <si>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</si>
  <si>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</si>
  <si>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</si>
  <si>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</si>
  <si>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</si>
  <si>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</si>
  <si>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</si>
  <si>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</si>
  <si>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</si>
  <si>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</si>
  <si>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</si>
  <si>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</si>
  <si>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</si>
  <si>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</si>
  <si>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</si>
  <si>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</si>
  <si>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</si>
  <si>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</si>
  <si>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</si>
  <si>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</si>
  <si>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</si>
  <si>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</si>
  <si>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</si>
  <si>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</si>
  <si>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</si>
  <si>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</si>
  <si>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</si>
  <si>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</si>
  <si>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</si>
  <si>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</si>
  <si>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</si>
  <si>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</si>
  <si>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</si>
  <si>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</si>
  <si>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</si>
  <si>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</si>
  <si>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</si>
  <si>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</si>
  <si>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</si>
  <si>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</si>
  <si>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</si>
  <si>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</si>
  <si>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</si>
  <si>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</si>
  <si>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</si>
  <si>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</si>
  <si>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</si>
  <si>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</si>
  <si>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</si>
  <si>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</si>
  <si>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</si>
  <si>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</si>
  <si>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</si>
  <si>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</si>
  <si>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</si>
  <si>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</si>
  <si>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</si>
  <si>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</si>
  <si>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</si>
  <si>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</si>
  <si>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</si>
  <si>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</si>
  <si>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</si>
  <si>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</si>
  <si>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</si>
  <si>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</si>
  <si>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</si>
  <si>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</si>
  <si>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</si>
  <si>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</si>
  <si>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</si>
  <si>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</si>
  <si>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</si>
  <si>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</si>
  <si>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</si>
  <si>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</si>
  <si>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</si>
  <si>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</si>
  <si>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</si>
  <si>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</si>
  <si>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</si>
  <si>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</si>
  <si>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</si>
  <si>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</si>
  <si>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</si>
  <si>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</si>
  <si>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</si>
  <si>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</si>
  <si>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</si>
  <si>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</si>
  <si>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</si>
  <si>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</si>
  <si>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</si>
  <si>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</si>
  <si>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</si>
  <si>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</si>
  <si>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</si>
  <si>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</si>
  <si>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</si>
  <si>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</si>
  <si>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</si>
  <si>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</si>
  <si>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</si>
  <si>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</si>
  <si>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</si>
  <si>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</si>
  <si>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</si>
  <si>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</si>
  <si>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</si>
  <si>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</si>
  <si>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</si>
  <si>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</si>
  <si>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</si>
  <si>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</si>
  <si>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</si>
  <si>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</si>
  <si>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</si>
  <si>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</si>
  <si>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</si>
  <si>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</si>
  <si>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</si>
  <si>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</si>
  <si>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</si>
  <si>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</si>
  <si>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</si>
  <si>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</si>
  <si>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</si>
  <si>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</si>
  <si>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</si>
  <si>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</si>
  <si>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</si>
  <si>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</si>
  <si>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</si>
  <si>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</si>
  <si>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</si>
  <si>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</si>
  <si>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</si>
  <si>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</si>
  <si>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</si>
  <si>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</si>
  <si>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</si>
  <si>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</si>
  <si>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</si>
  <si>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</si>
  <si>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</si>
  <si>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</si>
  <si>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</si>
  <si>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</si>
  <si>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</si>
  <si>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</si>
  <si>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</si>
  <si>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</si>
  <si>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</si>
  <si>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</si>
  <si>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</si>
  <si>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</si>
  <si>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</si>
  <si>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</si>
  <si>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</si>
  <si>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</si>
  <si>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</si>
  <si>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</si>
  <si>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</si>
  <si>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</si>
  <si>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</si>
  <si>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</si>
  <si>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</si>
  <si>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</si>
  <si>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</si>
  <si>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</si>
  <si>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</si>
  <si>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</si>
  <si>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</si>
  <si>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</si>
  <si>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</si>
  <si>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</si>
  <si>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</si>
  <si>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</si>
  <si>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</si>
  <si>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</si>
  <si>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</si>
  <si>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</si>
  <si>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</si>
  <si>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</si>
  <si>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</si>
  <si>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</si>
  <si>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</si>
  <si>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</si>
  <si>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</si>
  <si>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</si>
  <si>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</si>
  <si>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</si>
  <si>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</si>
  <si>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</si>
  <si>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</si>
  <si>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</si>
  <si>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</si>
  <si>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</si>
  <si>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</si>
  <si>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</si>
  <si>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</si>
  <si>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</si>
  <si>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</si>
  <si>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</si>
  <si>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</si>
  <si>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</si>
  <si>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</si>
  <si>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</si>
  <si>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</si>
  <si>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</si>
  <si>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</si>
  <si>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</si>
  <si>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</si>
  <si>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</si>
  <si>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</si>
  <si>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</si>
  <si>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</si>
  <si>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</si>
  <si>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</si>
  <si>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</si>
  <si>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</si>
  <si>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</si>
  <si>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</si>
  <si>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</si>
  <si>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</si>
  <si>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</si>
  <si>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</si>
  <si>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</si>
  <si>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</si>
  <si>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</si>
  <si>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</si>
  <si>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</si>
  <si>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</si>
  <si>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</si>
  <si>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</si>
  <si>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</si>
  <si>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</si>
  <si>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</si>
  <si>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</si>
  <si>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</si>
  <si>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</si>
  <si>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</si>
  <si>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</si>
  <si>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</si>
  <si>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</si>
  <si>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</si>
  <si>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</si>
  <si>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</si>
  <si>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</si>
  <si>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</si>
  <si>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</si>
  <si>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</si>
  <si>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</si>
  <si>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</si>
  <si>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</si>
  <si>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</si>
  <si>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</si>
  <si>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</si>
  <si>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</si>
  <si>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</si>
  <si>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</si>
  <si>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</si>
  <si>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</si>
  <si>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</si>
  <si>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</si>
  <si>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</si>
  <si>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</si>
  <si>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</si>
  <si>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</si>
  <si>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</si>
  <si>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</si>
  <si>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</si>
  <si>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</si>
  <si>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</si>
  <si>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</si>
  <si>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</si>
  <si>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</si>
  <si>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</si>
  <si>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</si>
  <si>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</si>
  <si>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</si>
  <si>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</si>
  <si>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</si>
  <si>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</si>
  <si>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</si>
  <si>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</si>
  <si>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</si>
  <si>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</si>
  <si>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</si>
  <si>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</si>
  <si>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</si>
  <si>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</si>
  <si>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</si>
  <si>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</si>
  <si>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</si>
  <si>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</si>
  <si>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</si>
  <si>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</si>
  <si>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</si>
  <si>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</si>
  <si>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</si>
  <si>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</si>
  <si>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</si>
  <si>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</si>
  <si>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</si>
  <si>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</si>
  <si>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</si>
  <si>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</si>
  <si>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</si>
  <si>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</si>
  <si>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</si>
  <si>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</si>
  <si>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</si>
  <si>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</si>
  <si>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</si>
  <si>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</si>
  <si>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</si>
  <si>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</si>
  <si>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</si>
  <si>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</si>
  <si>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</si>
  <si>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</si>
  <si>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</si>
  <si>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</si>
  <si>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</si>
  <si>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</si>
  <si>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</si>
  <si>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</si>
  <si>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</si>
  <si>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</si>
  <si>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</si>
  <si>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</si>
  <si>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</si>
  <si>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</si>
  <si>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</si>
  <si>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</si>
  <si>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</si>
  <si>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</si>
  <si>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</si>
  <si>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</si>
  <si>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</si>
  <si>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</si>
  <si>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</si>
  <si>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</si>
  <si>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</si>
  <si>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</si>
  <si>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</si>
  <si>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</si>
  <si>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</si>
  <si>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</si>
  <si>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</si>
  <si>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</si>
  <si>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</si>
  <si>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</si>
  <si>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</si>
  <si>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</si>
  <si>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</si>
  <si>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</si>
  <si>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</si>
  <si>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</si>
  <si>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</si>
  <si>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</si>
  <si>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</si>
  <si>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</si>
  <si>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</si>
  <si>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</si>
  <si>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</si>
  <si>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</si>
  <si>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</si>
  <si>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</si>
  <si>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</si>
  <si>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</si>
  <si>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</si>
  <si>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</si>
  <si>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</si>
  <si>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</si>
  <si>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</si>
  <si>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</si>
  <si>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</si>
  <si>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</si>
  <si>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</si>
  <si>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</si>
  <si>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</si>
  <si>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</si>
  <si>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</si>
  <si>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</si>
  <si>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</si>
  <si>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</si>
  <si>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</si>
  <si>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</si>
  <si>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</si>
  <si>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</si>
  <si>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</si>
  <si>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</si>
  <si>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</si>
  <si>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</si>
  <si>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</si>
  <si>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</si>
  <si>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</si>
  <si>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</si>
  <si>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</si>
  <si>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</si>
  <si>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</si>
  <si>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</si>
  <si>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</si>
  <si>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</si>
  <si>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</si>
  <si>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</si>
  <si>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</si>
  <si>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</si>
  <si>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</si>
  <si>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</si>
  <si>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</si>
  <si>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</si>
  <si>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</si>
  <si>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</si>
  <si>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</si>
  <si>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</si>
  <si>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</si>
  <si>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</si>
  <si>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</si>
  <si>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</si>
  <si>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</si>
  <si>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</si>
  <si>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</si>
  <si>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</si>
  <si>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</si>
  <si>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</si>
  <si>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</si>
  <si>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</si>
  <si>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</si>
  <si>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</si>
  <si>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</si>
  <si>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</si>
  <si>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</si>
  <si>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</si>
  <si>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</si>
  <si>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</si>
  <si>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</si>
  <si>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</si>
  <si>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</si>
  <si>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</si>
  <si>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</si>
  <si>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</si>
  <si>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</si>
  <si>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</si>
  <si>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</si>
  <si>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</si>
  <si>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</si>
  <si>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</si>
  <si>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</si>
  <si>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</si>
  <si>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</si>
  <si>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</si>
  <si>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</si>
  <si>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</si>
  <si>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</si>
  <si>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</si>
  <si>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</si>
  <si>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</si>
  <si>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</si>
  <si>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</si>
  <si>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</si>
  <si>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</si>
  <si>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</si>
  <si>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</si>
  <si>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</si>
  <si>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</si>
  <si>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</si>
  <si>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</si>
  <si>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</si>
  <si>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</si>
  <si>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</si>
  <si>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</si>
  <si>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</si>
  <si>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</si>
  <si>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</si>
  <si>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</si>
  <si>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</si>
  <si>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</si>
  <si>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</si>
  <si>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</si>
  <si>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</si>
  <si>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</si>
  <si>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</si>
  <si>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</si>
  <si>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</si>
  <si>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</si>
  <si>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</si>
  <si>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</si>
  <si>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</si>
  <si>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</si>
  <si>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</si>
  <si>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</si>
  <si>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</si>
  <si>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</si>
  <si>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</si>
  <si>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</si>
  <si>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</si>
  <si>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</si>
  <si>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</si>
  <si>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</si>
  <si>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</si>
  <si>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</si>
  <si>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</si>
  <si>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</si>
  <si>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</si>
  <si>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</si>
  <si>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</si>
  <si>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</si>
  <si>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</si>
  <si>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</si>
  <si>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</si>
  <si>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</si>
  <si>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</si>
  <si>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</si>
  <si>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</si>
  <si>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</si>
  <si>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</si>
  <si>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</si>
  <si>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</si>
  <si>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</si>
  <si>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</si>
  <si>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</si>
  <si>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</si>
  <si>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</si>
  <si>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</si>
  <si>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</si>
  <si>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</si>
  <si>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</si>
  <si>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</si>
  <si>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</si>
  <si>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</si>
  <si>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</si>
  <si>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</si>
  <si>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</si>
  <si>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</si>
  <si>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</si>
  <si>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</si>
  <si>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</si>
  <si>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</si>
  <si>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</si>
  <si>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</si>
  <si>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</si>
  <si>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</si>
  <si>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</si>
  <si>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</si>
  <si>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</si>
  <si>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</si>
  <si>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</si>
  <si>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</si>
  <si>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</si>
  <si>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</si>
  <si>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</si>
  <si>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</si>
  <si>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</si>
  <si>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</si>
  <si>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</si>
  <si>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</si>
  <si>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</si>
  <si>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</si>
  <si>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</si>
  <si>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</si>
  <si>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</si>
  <si>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</si>
  <si>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</si>
  <si>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</si>
  <si>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</si>
  <si>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</si>
  <si>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</si>
  <si>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</si>
  <si>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</si>
  <si>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</si>
  <si>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</si>
  <si>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</si>
  <si>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</si>
  <si>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</si>
  <si>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</si>
  <si>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</si>
  <si>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</si>
  <si>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</si>
  <si>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</si>
  <si>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</si>
  <si>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</si>
  <si>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</si>
  <si>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</si>
  <si>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</si>
  <si>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</si>
  <si>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</si>
  <si>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</si>
  <si>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</si>
  <si>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</si>
  <si>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</si>
  <si>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</si>
  <si>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</si>
  <si>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</si>
  <si>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</si>
  <si>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</si>
  <si>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</si>
  <si>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</si>
  <si>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</si>
  <si>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</si>
  <si>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</si>
  <si>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</si>
  <si>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</si>
  <si>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</si>
  <si>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</si>
  <si>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</si>
  <si>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</si>
  <si>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</si>
  <si>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</si>
  <si>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</si>
  <si>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</si>
  <si>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</si>
  <si>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</si>
  <si>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</si>
  <si>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</si>
  <si>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</si>
  <si>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</si>
  <si>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</si>
  <si>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</si>
  <si>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</si>
  <si>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</si>
  <si>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</si>
  <si>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</si>
  <si>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</si>
  <si>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</si>
  <si>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</si>
  <si>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</si>
  <si>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</si>
  <si>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</si>
  <si>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</si>
  <si>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</si>
  <si>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</si>
  <si>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</si>
  <si>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</si>
  <si>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</si>
  <si>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</si>
  <si>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</si>
  <si>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</si>
  <si>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</si>
  <si>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</si>
  <si>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</si>
  <si>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</si>
  <si>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</si>
  <si>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</si>
  <si>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</si>
  <si>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</si>
  <si>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</si>
  <si>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</si>
  <si>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</si>
  <si>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</si>
  <si>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</si>
  <si>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</si>
  <si>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</si>
  <si>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</si>
  <si>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</si>
  <si>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</si>
  <si>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</si>
  <si>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</si>
  <si>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</si>
  <si>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</si>
  <si>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</si>
  <si>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</si>
  <si>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</si>
  <si>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</si>
  <si>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</si>
  <si>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</si>
  <si>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</si>
  <si>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</si>
  <si>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</si>
  <si>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</si>
  <si>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</si>
  <si>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</si>
  <si>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</si>
  <si>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</si>
  <si>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</si>
  <si>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</si>
  <si>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</si>
  <si>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</si>
  <si>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</si>
  <si>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</si>
  <si>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</si>
  <si>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</si>
  <si>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</si>
  <si>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</si>
  <si>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</si>
  <si>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</si>
  <si>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</si>
  <si>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</si>
  <si>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</si>
  <si>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</si>
  <si>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</si>
  <si>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</si>
  <si>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</si>
  <si>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</si>
  <si>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</si>
  <si>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</si>
  <si>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</si>
  <si>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</si>
  <si>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</si>
  <si>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</si>
  <si>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</si>
  <si>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</si>
  <si>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</si>
  <si>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</si>
  <si>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</si>
  <si>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</si>
  <si>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</si>
  <si>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</si>
  <si>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</si>
  <si>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</si>
  <si>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</si>
  <si>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</si>
  <si>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</si>
  <si>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</si>
  <si>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</si>
  <si>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</si>
  <si>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</si>
  <si>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</si>
  <si>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</si>
  <si>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</si>
  <si>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</si>
  <si>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</si>
  <si>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</si>
  <si>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</si>
  <si>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</si>
  <si>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</si>
  <si>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</si>
  <si>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</si>
  <si>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</si>
  <si>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</si>
  <si>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</si>
  <si>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</si>
  <si>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</si>
  <si>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</si>
  <si>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</si>
  <si>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</si>
  <si>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</si>
  <si>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</si>
  <si>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</si>
  <si>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</si>
  <si>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</si>
  <si>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</si>
  <si>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</si>
  <si>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</si>
  <si>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</si>
  <si>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</si>
  <si>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</si>
  <si>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</si>
  <si>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</si>
  <si>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</si>
  <si>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</si>
  <si>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</si>
  <si>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</si>
  <si>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</si>
  <si>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</si>
  <si>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</si>
  <si>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</si>
  <si>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</si>
  <si>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</si>
  <si>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</si>
  <si>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</si>
  <si>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</si>
  <si>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</si>
  <si>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</si>
  <si>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</si>
  <si>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</si>
  <si>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</si>
  <si>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</si>
  <si>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</si>
  <si>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</si>
  <si>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</si>
  <si>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</si>
  <si>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</si>
  <si>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</si>
  <si>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</si>
  <si>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</si>
  <si>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</si>
  <si>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</si>
  <si>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</si>
  <si>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</si>
  <si>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</si>
  <si>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</si>
  <si>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</si>
  <si>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</si>
  <si>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</si>
  <si>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</si>
  <si>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</si>
  <si>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</si>
  <si>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</si>
  <si>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</si>
  <si>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</si>
  <si>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</si>
  <si>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</si>
  <si>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</si>
  <si>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</si>
  <si>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</si>
  <si>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</si>
  <si>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</si>
  <si>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</si>
  <si>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</si>
  <si>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</si>
  <si>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</si>
  <si>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</si>
  <si>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</si>
  <si>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</si>
  <si>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</si>
  <si>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</si>
  <si>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</si>
  <si>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</si>
  <si>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</si>
  <si>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</si>
  <si>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</si>
  <si>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</si>
  <si>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</si>
  <si>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</si>
  <si>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</si>
  <si>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</si>
  <si>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</si>
  <si>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</si>
  <si>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</si>
  <si>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</si>
  <si>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</si>
  <si>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</si>
  <si>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</si>
  <si>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</si>
  <si>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</si>
  <si>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</si>
  <si>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</si>
  <si>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</si>
  <si>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</si>
  <si>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</si>
  <si>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</si>
  <si>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</si>
  <si>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</si>
  <si>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</si>
  <si>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</si>
  <si>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</si>
  <si>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</si>
  <si>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</si>
  <si>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</si>
  <si>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</si>
  <si>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</si>
  <si>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</si>
  <si>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</si>
  <si>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</si>
  <si>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</si>
  <si>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</si>
  <si>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</si>
  <si>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</si>
  <si>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</si>
  <si>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</si>
  <si>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</si>
  <si>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</si>
  <si>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</si>
  <si>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</si>
  <si>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</si>
  <si>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</si>
  <si>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</si>
  <si>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</si>
  <si>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</si>
  <si>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</si>
  <si>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</si>
  <si>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</si>
  <si>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</si>
  <si>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</si>
  <si>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</si>
  <si>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</si>
  <si>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</si>
  <si>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</si>
  <si>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</si>
  <si>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</si>
  <si>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</si>
  <si>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</si>
  <si>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</si>
  <si>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</si>
  <si>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</si>
  <si>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</si>
  <si>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</si>
  <si>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</si>
  <si>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</si>
  <si>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</si>
  <si>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</si>
  <si>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</si>
  <si>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</si>
  <si>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</si>
  <si>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</si>
  <si>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</si>
  <si>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</si>
  <si>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</si>
  <si>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</si>
  <si>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</si>
  <si>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</si>
  <si>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</si>
  <si>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</si>
  <si>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</si>
  <si>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</si>
  <si>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</si>
  <si>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</si>
  <si>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</si>
  <si>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</si>
  <si>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</si>
  <si>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</si>
  <si>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</si>
  <si>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</si>
  <si>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</si>
  <si>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</si>
  <si>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</si>
  <si>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</si>
  <si>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</si>
  <si>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</si>
  <si>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</si>
  <si>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</si>
  <si>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</si>
  <si>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</si>
  <si>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</si>
  <si>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</si>
  <si>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</si>
  <si>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</si>
  <si>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</si>
  <si>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</si>
  <si>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</si>
  <si>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</si>
  <si>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</si>
  <si>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</si>
  <si>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</si>
  <si>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</si>
  <si>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</si>
  <si>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</si>
  <si>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</si>
  <si>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</si>
  <si>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</si>
  <si>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</si>
  <si>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</si>
  <si>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</si>
  <si>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</si>
  <si>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</si>
  <si>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</si>
  <si>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</si>
  <si>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</si>
  <si>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</si>
  <si>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</si>
  <si>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</si>
  <si>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</si>
  <si>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</si>
  <si>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</si>
  <si>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</si>
  <si>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</si>
  <si>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</si>
  <si>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</si>
  <si>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</si>
  <si>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</si>
  <si>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</si>
  <si>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</si>
  <si>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</si>
  <si>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</si>
  <si>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</si>
  <si>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</si>
  <si>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</si>
  <si>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</si>
  <si>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</si>
  <si>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</si>
  <si>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</si>
  <si>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</si>
  <si>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</si>
  <si>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</si>
  <si>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</si>
  <si>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</si>
  <si>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</si>
  <si>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</si>
  <si>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</si>
  <si>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</si>
  <si>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</si>
  <si>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</si>
  <si>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</si>
  <si>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</si>
  <si>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</si>
  <si>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</si>
  <si>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</si>
  <si>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</si>
  <si>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</si>
  <si>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</si>
  <si>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</si>
  <si>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</si>
  <si>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</si>
  <si>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</si>
  <si>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</si>
  <si>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</si>
  <si>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</si>
  <si>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</si>
  <si>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</si>
  <si>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</si>
  <si>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</si>
  <si>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</si>
  <si>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</si>
  <si>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</si>
  <si>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</si>
  <si>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</si>
  <si>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</si>
  <si>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</si>
  <si>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</si>
  <si>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</si>
  <si>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</si>
  <si>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</si>
  <si>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</si>
  <si>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</si>
  <si>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</si>
  <si>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</si>
  <si>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</si>
  <si>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</si>
  <si>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</si>
  <si>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</si>
  <si>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</si>
  <si>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</si>
  <si>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</si>
  <si>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</si>
  <si>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</si>
  <si>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</si>
  <si>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</si>
  <si>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</si>
  <si>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</si>
  <si>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</si>
  <si>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</si>
  <si>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</si>
  <si>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</si>
  <si>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</si>
  <si>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</si>
  <si>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</si>
  <si>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</si>
  <si>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</si>
  <si>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</si>
  <si>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</si>
  <si>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</si>
  <si>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</si>
  <si>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</si>
  <si>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</si>
  <si>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</si>
  <si>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</si>
  <si>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</si>
  <si>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</si>
  <si>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</si>
  <si>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</si>
  <si>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</si>
  <si>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</si>
  <si>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</si>
  <si>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</si>
  <si>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</si>
  <si>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</si>
  <si>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</si>
  <si>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</si>
  <si>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</si>
  <si>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</si>
  <si>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</si>
  <si>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</si>
  <si>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</si>
  <si>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</si>
  <si>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</si>
  <si>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</si>
  <si>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</si>
  <si>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</si>
  <si>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</si>
  <si>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</si>
  <si>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</si>
  <si>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</si>
  <si>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</si>
  <si>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</si>
  <si>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</si>
  <si>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</si>
  <si>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</si>
  <si>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</si>
  <si>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</si>
  <si>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</si>
  <si>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</si>
  <si>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</si>
  <si>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</si>
  <si>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</si>
  <si>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</si>
  <si>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</si>
  <si>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</si>
  <si>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</si>
  <si>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</si>
  <si>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</si>
  <si>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</si>
  <si>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</si>
  <si>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</si>
  <si>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</si>
  <si>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</si>
  <si>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</si>
  <si>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</si>
  <si>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</si>
  <si>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</si>
  <si>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</si>
  <si>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</si>
  <si>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</si>
  <si>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</si>
  <si>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</si>
  <si>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</si>
  <si>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</si>
  <si>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</si>
  <si>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</si>
  <si>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</si>
  <si>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</si>
  <si>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</si>
  <si>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</si>
  <si>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</si>
  <si>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</si>
  <si>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</si>
  <si>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</si>
  <si>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</si>
  <si>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</si>
  <si>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</si>
  <si>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</si>
  <si>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</si>
  <si>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</si>
  <si>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</si>
  <si>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</si>
  <si>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</si>
  <si>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</si>
  <si>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</si>
  <si>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</si>
  <si>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</si>
  <si>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</si>
  <si>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</si>
  <si>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</si>
  <si>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</si>
  <si>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</si>
  <si>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</si>
  <si>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</si>
  <si>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</si>
  <si>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</si>
  <si>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</si>
  <si>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</si>
  <si>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</si>
  <si>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</si>
  <si>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</si>
  <si>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</si>
  <si>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</si>
  <si>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</si>
  <si>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</si>
  <si>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</si>
  <si>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</si>
  <si>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</si>
  <si>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</si>
  <si>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</si>
  <si>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</si>
  <si>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</si>
  <si>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</si>
  <si>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</si>
  <si>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</si>
  <si>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</si>
  <si>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</si>
  <si>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</si>
  <si>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</si>
  <si>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</si>
  <si>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</si>
  <si>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</si>
  <si>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</si>
  <si>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</si>
  <si>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</si>
  <si>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</si>
  <si>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</si>
  <si>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</si>
  <si>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</si>
  <si>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</si>
  <si>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</si>
  <si>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</si>
  <si>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</si>
  <si>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</si>
  <si>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</si>
  <si>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</si>
  <si>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</si>
  <si>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</si>
  <si>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</si>
  <si>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</si>
  <si>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</si>
  <si>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</si>
  <si>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</si>
  <si>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</si>
  <si>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</si>
  <si>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</si>
  <si>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</si>
  <si>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</si>
  <si>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</si>
  <si>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</si>
  <si>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</si>
  <si>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</si>
  <si>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</si>
  <si>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</si>
  <si>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</si>
  <si>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</si>
  <si>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</si>
  <si>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</si>
  <si>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</si>
  <si>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</si>
  <si>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</si>
  <si>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</si>
  <si>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</si>
  <si>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</si>
  <si>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</si>
  <si>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</si>
  <si>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</si>
  <si>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</si>
  <si>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</si>
  <si>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</si>
  <si>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</si>
  <si>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</si>
  <si>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</si>
  <si>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</si>
  <si>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</si>
  <si>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</si>
  <si>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</si>
  <si>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</si>
  <si>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</si>
  <si>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</si>
  <si>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</si>
  <si>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</si>
  <si>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</si>
  <si>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</si>
  <si>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</si>
  <si>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</si>
  <si>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</si>
  <si>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</si>
  <si>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</si>
  <si>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</si>
  <si>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</si>
  <si>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</si>
  <si>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</si>
  <si>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</si>
  <si>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</si>
  <si>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</si>
  <si>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</si>
  <si>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</si>
  <si>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</si>
  <si>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</si>
  <si>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</si>
  <si>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</si>
  <si>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</si>
  <si>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</si>
  <si>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</si>
  <si>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</si>
  <si>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</si>
  <si>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</si>
  <si>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</si>
  <si>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</si>
  <si>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</si>
  <si>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</si>
  <si>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</si>
  <si>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</si>
  <si>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</si>
  <si>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</si>
  <si>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</si>
  <si>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</si>
  <si>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</si>
  <si>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</si>
  <si>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</si>
  <si>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</si>
  <si>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</si>
  <si>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</si>
  <si>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</si>
  <si>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</si>
  <si>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</si>
  <si>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</si>
  <si>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</si>
  <si>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</si>
  <si>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</si>
  <si>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</si>
  <si>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</si>
  <si>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</si>
  <si>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</si>
  <si>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</si>
  <si>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</si>
  <si>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</si>
  <si>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</si>
  <si>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</si>
  <si>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</si>
  <si>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</si>
  <si>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</si>
  <si>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</si>
  <si>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</si>
  <si>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</si>
  <si>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</si>
  <si>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</si>
  <si>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</si>
  <si>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</si>
  <si>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</si>
  <si>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</si>
  <si>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</si>
  <si>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</si>
  <si>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</si>
  <si>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</si>
  <si>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</si>
  <si>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</si>
  <si>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</si>
  <si>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</si>
  <si>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</si>
  <si>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</si>
  <si>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</si>
  <si>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</si>
  <si>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</si>
  <si>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</si>
  <si>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</si>
  <si>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</si>
  <si>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</si>
  <si>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</si>
  <si>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</si>
  <si>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</si>
  <si>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</si>
  <si>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</si>
  <si>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</si>
  <si>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</si>
  <si>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</si>
  <si>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</si>
  <si>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</si>
  <si>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</si>
  <si>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</si>
  <si>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</si>
  <si>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</si>
  <si>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</si>
  <si>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</si>
  <si>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</si>
  <si>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</si>
  <si>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</si>
  <si>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</si>
  <si>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</si>
  <si>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</si>
  <si>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</si>
  <si>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</si>
  <si>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</si>
  <si>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</si>
  <si>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</si>
  <si>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</si>
  <si>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</si>
  <si>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</si>
  <si>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</si>
  <si>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</si>
  <si>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</si>
  <si>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</si>
  <si>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</si>
  <si>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</si>
  <si>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</si>
  <si>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</si>
  <si>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</si>
  <si>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</si>
  <si>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</si>
  <si>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</si>
  <si>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</si>
  <si>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</si>
  <si>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</si>
  <si>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</si>
  <si>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</si>
  <si>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</si>
  <si>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</si>
  <si>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</si>
  <si>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</si>
  <si>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</si>
  <si>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</si>
  <si>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</si>
  <si>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</si>
  <si>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</si>
  <si>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</si>
  <si>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</si>
  <si>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</si>
  <si>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</si>
  <si>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</si>
  <si>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</si>
  <si>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</si>
  <si>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</si>
  <si>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</si>
  <si>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</si>
  <si>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</si>
  <si>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</si>
  <si>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</si>
  <si>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</si>
  <si>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</si>
  <si>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</si>
  <si>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</si>
  <si>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</si>
  <si>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</si>
  <si>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</si>
  <si>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</si>
  <si>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</si>
  <si>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</si>
  <si>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</si>
  <si>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</si>
  <si>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</si>
  <si>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</si>
  <si>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</si>
  <si>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</si>
  <si>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</si>
  <si>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</si>
  <si>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</si>
  <si>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</si>
  <si>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</si>
  <si>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</si>
  <si>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</si>
  <si>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</si>
  <si>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</si>
  <si>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</si>
  <si>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</si>
  <si>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</si>
  <si>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</si>
  <si>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</si>
  <si>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</si>
  <si>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</si>
  <si>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</si>
  <si>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</si>
  <si>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</si>
  <si>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</si>
  <si>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</si>
  <si>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</si>
  <si>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</si>
  <si>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</si>
  <si>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</si>
  <si>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</si>
  <si>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</si>
  <si>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</si>
  <si>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</si>
  <si>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</si>
  <si>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</si>
  <si>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</si>
  <si>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</si>
  <si>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</si>
  <si>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</si>
  <si>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</si>
  <si>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</si>
  <si>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</si>
  <si>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</si>
  <si>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</si>
  <si>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</si>
  <si>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</si>
  <si>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</si>
  <si>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</si>
  <si>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</si>
  <si>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</si>
  <si>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</si>
  <si>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</si>
  <si>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</si>
  <si>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</si>
  <si>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</si>
  <si>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</si>
  <si>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</si>
  <si>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</si>
  <si>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</si>
  <si>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</si>
  <si>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</si>
  <si>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</si>
  <si>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</si>
  <si>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</si>
  <si>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</si>
  <si>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</si>
  <si>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</si>
  <si>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</si>
  <si>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</si>
  <si>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</si>
  <si>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</si>
  <si>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</si>
  <si>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</si>
  <si>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</si>
  <si>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</si>
  <si>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</si>
  <si>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</si>
  <si>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</si>
  <si>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</si>
  <si>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</si>
  <si>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</si>
  <si>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</si>
  <si>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</si>
  <si>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</si>
  <si>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</si>
  <si>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</si>
  <si>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</si>
  <si>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</si>
  <si>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</si>
  <si>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</si>
  <si>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</si>
  <si>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</si>
  <si>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</si>
  <si>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</si>
  <si>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</si>
  <si>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</si>
  <si>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</si>
  <si>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</si>
  <si>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</si>
  <si>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</si>
  <si>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</si>
  <si>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</si>
  <si>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</si>
  <si>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</si>
  <si>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</si>
  <si>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</si>
  <si>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</si>
  <si>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</si>
  <si>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</si>
  <si>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</si>
  <si>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</si>
  <si>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</si>
  <si>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</si>
  <si>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</si>
  <si>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</si>
  <si>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</si>
  <si>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</si>
  <si>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</si>
  <si>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</si>
  <si>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</si>
  <si>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</si>
  <si>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</si>
  <si>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</si>
  <si>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</si>
  <si>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</si>
  <si>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</si>
  <si>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</si>
  <si>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</si>
  <si>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</si>
  <si>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</si>
  <si>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</si>
  <si>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</si>
  <si>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</si>
  <si>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</si>
  <si>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</si>
  <si>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</si>
  <si>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</si>
  <si>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</si>
  <si>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</si>
  <si>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</si>
  <si>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</si>
  <si>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</si>
  <si>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</si>
  <si>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</si>
  <si>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</si>
  <si>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</si>
  <si>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</si>
  <si>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</si>
  <si>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</si>
  <si>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</si>
  <si>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</si>
  <si>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</si>
  <si>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</si>
  <si>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</si>
  <si>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</si>
  <si>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</si>
  <si>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</si>
  <si>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</si>
  <si>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</si>
  <si>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</si>
  <si>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</si>
  <si>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</si>
  <si>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</si>
  <si>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</si>
  <si>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</si>
  <si>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</si>
  <si>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</si>
  <si>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</si>
  <si>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</si>
  <si>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</si>
  <si>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</si>
  <si>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</si>
  <si>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</si>
  <si>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</si>
  <si>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</si>
  <si>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</si>
  <si>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</si>
  <si>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</si>
  <si>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</si>
  <si>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</si>
  <si>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</si>
  <si>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</si>
  <si>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</si>
  <si>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</si>
  <si>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</si>
  <si>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</si>
  <si>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</si>
  <si>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</si>
  <si>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</si>
  <si>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</si>
  <si>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</si>
  <si>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</si>
  <si>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</si>
  <si>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</si>
  <si>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</si>
  <si>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</si>
  <si>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</si>
  <si>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</si>
  <si>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</si>
  <si>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</si>
  <si>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</si>
  <si>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</si>
  <si>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</si>
  <si>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</si>
  <si>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</si>
  <si>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</si>
  <si>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</si>
  <si>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</si>
  <si>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</si>
  <si>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</si>
  <si>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</si>
  <si>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</si>
  <si>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</si>
  <si>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</si>
  <si>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</si>
  <si>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</si>
  <si>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</si>
  <si>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</si>
  <si>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</si>
  <si>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</si>
  <si>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</si>
  <si>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</si>
  <si>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</si>
  <si>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</si>
  <si>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</si>
  <si>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</si>
  <si>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</si>
  <si>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</si>
  <si>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</si>
  <si>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</si>
  <si>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</si>
  <si>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</si>
  <si>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</si>
  <si>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</si>
  <si>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</si>
  <si>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</si>
  <si>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</si>
  <si>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</si>
  <si>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</si>
  <si>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</si>
  <si>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</si>
  <si>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</si>
  <si>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</si>
  <si>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</si>
  <si>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</si>
  <si>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</si>
  <si>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</si>
  <si>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</si>
  <si>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</si>
  <si>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</si>
  <si>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</si>
  <si>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</si>
  <si>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</si>
  <si>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</si>
  <si>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</si>
  <si>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</si>
  <si>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</si>
  <si>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</si>
  <si>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</si>
  <si>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</si>
  <si>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</si>
  <si>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</si>
  <si>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</si>
  <si>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</si>
  <si>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</si>
  <si>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</si>
  <si>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</si>
  <si>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</si>
  <si>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</si>
  <si>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</si>
  <si>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</si>
  <si>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</si>
  <si>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</si>
  <si>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</si>
  <si>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</si>
  <si>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</si>
  <si>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</si>
  <si>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</si>
  <si>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</si>
  <si>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</si>
  <si>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</si>
  <si>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</si>
  <si>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</si>
  <si>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</si>
  <si>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</si>
  <si>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</si>
  <si>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</si>
  <si>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</si>
  <si>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</si>
  <si>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</si>
  <si>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</si>
  <si>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</si>
  <si>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</si>
  <si>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</si>
  <si>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</si>
  <si>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</si>
  <si>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</si>
  <si>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</si>
  <si>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</si>
  <si>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</si>
  <si>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</si>
  <si>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</si>
  <si>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</si>
  <si>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</si>
  <si>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</si>
  <si>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</si>
  <si>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</si>
  <si>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</si>
  <si>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</si>
  <si>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</si>
  <si>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</si>
  <si>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</si>
  <si>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</si>
  <si>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</si>
  <si>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</si>
  <si>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</si>
  <si>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</si>
  <si>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</si>
  <si>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</si>
  <si>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</si>
  <si>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</si>
  <si>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</si>
  <si>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</si>
  <si>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</si>
  <si>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</si>
  <si>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</si>
  <si>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</si>
  <si>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</si>
  <si>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</si>
  <si>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</si>
  <si>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</si>
  <si>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</si>
  <si>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</si>
  <si>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</si>
  <si>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</si>
  <si>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</si>
  <si>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</si>
  <si>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</si>
  <si>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</si>
  <si>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</si>
  <si>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</si>
  <si>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</si>
  <si>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</si>
  <si>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</si>
  <si>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</si>
  <si>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</si>
  <si>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</si>
  <si>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</si>
  <si>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</si>
  <si>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</si>
  <si>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</si>
  <si>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</si>
  <si>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</si>
  <si>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</si>
  <si>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</si>
  <si>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</si>
  <si>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</si>
  <si>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</si>
  <si>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</si>
  <si>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</si>
  <si>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</si>
  <si>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</si>
  <si>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</si>
  <si>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</si>
  <si>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</si>
  <si>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</si>
  <si>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</si>
  <si>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</si>
  <si>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</si>
  <si>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</si>
  <si>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</si>
  <si>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</si>
  <si>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</si>
  <si>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</si>
  <si>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</si>
  <si>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</si>
  <si>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</si>
  <si>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</si>
  <si>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</si>
  <si>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</si>
  <si>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</si>
  <si>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</si>
  <si>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</si>
  <si>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</si>
  <si>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</si>
  <si>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</si>
  <si>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</si>
  <si>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</si>
  <si>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</si>
  <si>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</si>
  <si>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</si>
  <si>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</si>
  <si>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</si>
  <si>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</si>
  <si>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</si>
  <si>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</si>
  <si>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</si>
  <si>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</si>
  <si>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</si>
  <si>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</si>
  <si>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</si>
  <si>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</si>
  <si>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</si>
  <si>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</si>
  <si>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</si>
  <si>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</si>
  <si>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</si>
  <si>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</si>
  <si>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</si>
  <si>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</si>
  <si>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</si>
  <si>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</si>
  <si>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</si>
  <si>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</si>
  <si>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</si>
  <si>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</si>
  <si>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</si>
  <si>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</si>
  <si>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</si>
  <si>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</si>
  <si>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</si>
  <si>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</si>
  <si>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</si>
  <si>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</si>
  <si>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</si>
  <si>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</si>
  <si>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</si>
  <si>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</si>
  <si>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</si>
  <si>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</si>
  <si>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</si>
  <si>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</si>
  <si>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</si>
  <si>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</si>
  <si>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</si>
  <si>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</si>
  <si>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</si>
  <si>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</si>
  <si>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</si>
  <si>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</si>
  <si>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</si>
  <si>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</si>
  <si>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</si>
  <si>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</si>
  <si>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</si>
  <si>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</si>
  <si>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</si>
  <si>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</si>
  <si>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</si>
  <si>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</si>
  <si>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</si>
  <si>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</si>
  <si>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</si>
  <si>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</si>
  <si>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</si>
  <si>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</si>
  <si>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</si>
  <si>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</si>
  <si>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</si>
  <si>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</si>
  <si>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</si>
  <si>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</si>
  <si>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</si>
  <si>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</si>
  <si>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</si>
  <si>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</si>
  <si>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</si>
  <si>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</si>
  <si>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</si>
  <si>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</si>
  <si>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</si>
  <si>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</si>
  <si>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</si>
  <si>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</si>
  <si>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</si>
  <si>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</si>
  <si>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</si>
  <si>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</si>
  <si>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</si>
  <si>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</si>
  <si>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</si>
  <si>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</si>
  <si>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</si>
  <si>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</si>
  <si>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</si>
  <si>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</si>
  <si>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</si>
  <si>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</si>
  <si>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</si>
  <si>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</si>
  <si>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</si>
  <si>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</si>
  <si>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</si>
  <si>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</si>
  <si>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</si>
  <si>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</si>
  <si>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</si>
  <si>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</si>
  <si>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</si>
  <si>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</si>
  <si>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</si>
  <si>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</si>
  <si>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</si>
  <si>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</si>
  <si>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</si>
  <si>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</si>
  <si>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</si>
  <si>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</si>
  <si>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</si>
  <si>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</si>
  <si>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</si>
  <si>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</si>
  <si>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</si>
  <si>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</si>
  <si>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</si>
  <si>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</si>
  <si>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</si>
  <si>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</si>
  <si>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</si>
  <si>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</si>
  <si>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</si>
  <si>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</si>
  <si>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</si>
  <si>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</si>
  <si>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</si>
  <si>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</si>
  <si>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</si>
  <si>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</si>
  <si>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</si>
  <si>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</si>
  <si>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</si>
  <si>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</si>
  <si>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</si>
  <si>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</si>
  <si>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</si>
  <si>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</si>
  <si>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</si>
  <si>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</si>
  <si>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</si>
  <si>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</si>
  <si>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</si>
  <si>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</si>
  <si>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</si>
  <si>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</si>
  <si>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</si>
  <si>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</si>
  <si>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</si>
  <si>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</si>
  <si>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</si>
  <si>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</si>
  <si>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</si>
  <si>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</si>
  <si>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</si>
  <si>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</si>
  <si>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</si>
  <si>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</si>
  <si>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</si>
  <si>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</si>
  <si>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</si>
  <si>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</si>
  <si>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</si>
  <si>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</si>
  <si>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</si>
  <si>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</si>
  <si>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</si>
  <si>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</si>
  <si>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</si>
  <si>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</si>
  <si>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</si>
  <si>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</si>
  <si>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</si>
  <si>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</si>
  <si>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</si>
  <si>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</si>
  <si>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</si>
  <si>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</si>
  <si>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</si>
  <si>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</si>
  <si>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</si>
  <si>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</si>
  <si>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</si>
  <si>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</si>
  <si>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</si>
  <si>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</si>
  <si>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</si>
  <si>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</si>
  <si>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</si>
  <si>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</si>
  <si>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</si>
  <si>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</si>
  <si>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</si>
  <si>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</si>
  <si>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</si>
  <si>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</si>
  <si>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</si>
  <si>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</si>
  <si>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</si>
  <si>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</si>
  <si>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</si>
  <si>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</si>
  <si>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</si>
  <si>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</si>
  <si>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</si>
  <si>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</si>
  <si>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</si>
  <si>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</si>
  <si>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</si>
  <si>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</si>
  <si>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</si>
  <si>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</si>
  <si>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</si>
  <si>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</si>
  <si>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</si>
  <si>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</si>
  <si>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</si>
  <si>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</si>
  <si>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</si>
  <si>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</si>
  <si>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</si>
  <si>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</si>
  <si>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</si>
  <si>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</si>
  <si>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</si>
  <si>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</si>
  <si>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</si>
  <si>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</si>
  <si>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</si>
  <si>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</si>
  <si>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</si>
  <si>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</si>
  <si>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</si>
  <si>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</si>
  <si>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</si>
  <si>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</si>
  <si>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</si>
  <si>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</si>
  <si>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</si>
  <si>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</si>
  <si>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</si>
  <si>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</si>
  <si>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</si>
  <si>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</si>
  <si>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</si>
  <si>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</si>
  <si>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</si>
  <si>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</si>
  <si>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</si>
  <si>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</si>
  <si>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</si>
  <si>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</si>
  <si>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</si>
  <si>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</si>
  <si>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</si>
  <si>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</si>
  <si>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</si>
  <si>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</si>
  <si>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</si>
  <si>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</si>
  <si>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</si>
  <si>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</si>
  <si>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</si>
  <si>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</si>
  <si>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</si>
  <si>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</si>
  <si>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</si>
  <si>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</si>
  <si>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</si>
  <si>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</si>
  <si>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</si>
  <si>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</si>
  <si>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</si>
  <si>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</si>
  <si>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</si>
  <si>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</si>
  <si>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</si>
  <si>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</si>
  <si>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</si>
  <si>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</si>
  <si>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</si>
  <si>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</si>
  <si>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</si>
  <si>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</si>
  <si>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</si>
  <si>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</si>
  <si>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</si>
  <si>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</si>
  <si>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</si>
  <si>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</si>
  <si>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</si>
  <si>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</si>
  <si>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</si>
  <si>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</si>
  <si>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</si>
  <si>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</si>
  <si>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</si>
  <si>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</si>
  <si>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</si>
  <si>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</si>
  <si>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</si>
  <si>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</si>
  <si>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</si>
  <si>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</si>
  <si>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</si>
  <si>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</si>
  <si>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</si>
  <si>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</si>
  <si>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</si>
  <si>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</si>
  <si>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</si>
  <si>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</si>
  <si>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</si>
  <si>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</si>
  <si>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</si>
  <si>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</si>
  <si>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</si>
  <si>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</si>
  <si>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</si>
  <si>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</si>
  <si>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</si>
  <si>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</si>
  <si>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</si>
  <si>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</si>
  <si>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</si>
  <si>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</si>
  <si>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</si>
  <si>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</si>
  <si>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</si>
  <si>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</si>
  <si>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</si>
  <si>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</si>
  <si>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</si>
  <si>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</si>
  <si>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</si>
  <si>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</si>
  <si>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</si>
  <si>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</si>
  <si>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</si>
  <si>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</si>
  <si>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</si>
  <si>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</si>
  <si>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</si>
  <si>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</si>
  <si>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</si>
  <si>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</si>
  <si>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</si>
  <si>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</si>
  <si>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</si>
  <si>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</si>
  <si>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</si>
  <si>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</si>
  <si>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</si>
  <si>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</si>
  <si>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</si>
  <si>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</si>
  <si>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</si>
  <si>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</si>
  <si>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</si>
  <si>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</si>
  <si>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</si>
  <si>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</si>
  <si>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</si>
  <si>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</si>
  <si>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</si>
  <si>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</si>
  <si>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</si>
  <si>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</si>
  <si>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</si>
  <si>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</si>
  <si>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</si>
  <si>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</si>
  <si>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</si>
  <si>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</si>
  <si>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</si>
  <si>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</si>
  <si>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</si>
  <si>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</si>
  <si>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</si>
  <si>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</si>
  <si>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</si>
  <si>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</si>
  <si>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</si>
  <si>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</si>
  <si>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</si>
  <si>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</si>
  <si>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</si>
  <si>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</si>
  <si>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</si>
  <si>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</si>
  <si>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</si>
  <si>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</si>
  <si>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</si>
  <si>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</si>
  <si>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</si>
  <si>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</si>
  <si>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</si>
  <si>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</si>
  <si>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</si>
  <si>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</si>
  <si>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</si>
  <si>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</si>
  <si>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</si>
  <si>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</si>
  <si>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</si>
  <si>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</si>
  <si>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</si>
  <si>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</si>
  <si>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</si>
  <si>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</si>
  <si>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</si>
  <si>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</si>
  <si>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</si>
  <si>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</si>
  <si>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</si>
  <si>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</si>
  <si>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</si>
  <si>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</si>
  <si>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</si>
  <si>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</si>
  <si>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</si>
  <si>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</si>
  <si>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</si>
  <si>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</si>
  <si>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</si>
  <si>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</si>
  <si>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</si>
  <si>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</si>
  <si>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</si>
  <si>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</si>
  <si>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</si>
  <si>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</si>
  <si>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</si>
  <si>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</si>
  <si>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</si>
  <si>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</si>
  <si>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</si>
  <si>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</si>
  <si>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</si>
  <si>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</si>
  <si>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</si>
  <si>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</si>
  <si>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</si>
  <si>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</si>
  <si>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</si>
  <si>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</si>
  <si>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</si>
  <si>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</si>
  <si>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</si>
  <si>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</si>
  <si>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</si>
  <si>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</si>
  <si>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</si>
  <si>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</si>
  <si>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</si>
  <si>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</si>
  <si>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</si>
  <si>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</si>
  <si>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</si>
  <si>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</si>
  <si>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</si>
  <si>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</si>
  <si>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</si>
  <si>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</si>
  <si>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</si>
  <si>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</si>
  <si>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</si>
  <si>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</si>
  <si>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</si>
  <si>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</si>
  <si>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</si>
  <si>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</si>
  <si>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</si>
  <si>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</si>
  <si>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</si>
  <si>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</si>
  <si>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</si>
  <si>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</si>
  <si>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</si>
  <si>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</si>
  <si>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</si>
  <si>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</si>
  <si>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</si>
  <si>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</si>
  <si>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</si>
  <si>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</si>
  <si>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</si>
  <si>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</si>
  <si>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</si>
  <si>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</si>
  <si>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</si>
  <si>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</si>
  <si>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</si>
  <si>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</si>
  <si>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</si>
  <si>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</si>
  <si>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</si>
  <si>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</si>
  <si>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</si>
  <si>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</si>
  <si>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</si>
  <si>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</si>
  <si>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</si>
  <si>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</si>
  <si>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</si>
  <si>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</si>
  <si>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</si>
  <si>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</si>
  <si>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</si>
  <si>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</si>
  <si>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</si>
  <si>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</si>
  <si>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</si>
  <si>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</si>
  <si>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</si>
  <si>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</si>
  <si>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</si>
  <si>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</si>
  <si>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</si>
  <si>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</si>
  <si>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</si>
  <si>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</si>
  <si>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</si>
  <si>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</si>
  <si>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</si>
  <si>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</si>
  <si>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</si>
  <si>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</si>
  <si>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</si>
  <si>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</si>
  <si>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</si>
  <si>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</si>
  <si>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</si>
  <si>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</si>
  <si>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</si>
  <si>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</si>
  <si>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</si>
  <si>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</si>
  <si>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</si>
  <si>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</si>
  <si>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</si>
  <si>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</si>
  <si>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</si>
  <si>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</si>
  <si>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</si>
  <si>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</si>
  <si>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</si>
  <si>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</si>
  <si>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</si>
  <si>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</si>
  <si>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</si>
  <si>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</si>
  <si>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</si>
  <si>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</si>
  <si>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</si>
  <si>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</si>
  <si>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</si>
  <si>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</si>
  <si>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</si>
  <si>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</si>
  <si>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</si>
  <si>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</si>
  <si>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</si>
  <si>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</si>
  <si>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</si>
  <si>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</si>
  <si>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</si>
  <si>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</si>
  <si>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</si>
  <si>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</si>
  <si>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</si>
  <si>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</si>
  <si>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</si>
  <si>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</si>
  <si>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</si>
  <si>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</si>
  <si>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</si>
  <si>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</si>
  <si>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</si>
  <si>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</si>
  <si>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</si>
  <si>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</si>
  <si>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</si>
  <si>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</si>
  <si>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</si>
  <si>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</si>
  <si>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</si>
  <si>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</si>
  <si>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</si>
  <si>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</si>
  <si>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</si>
  <si>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</si>
  <si>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</si>
  <si>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</si>
  <si>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</si>
  <si>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</si>
  <si>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</si>
  <si>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</si>
  <si>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</si>
  <si>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</si>
  <si>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</si>
  <si>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</si>
  <si>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</si>
  <si>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</si>
  <si>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</si>
  <si>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</si>
  <si>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</si>
  <si>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</si>
  <si>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</si>
  <si>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</si>
  <si>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</si>
  <si>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</si>
  <si>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</si>
  <si>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</si>
  <si>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</si>
  <si>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</si>
  <si>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</si>
  <si>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</si>
  <si>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</si>
  <si>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</si>
  <si>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</si>
  <si>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</si>
  <si>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</si>
  <si>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</si>
  <si>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</si>
  <si>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</si>
  <si>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</si>
  <si>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</si>
  <si>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</si>
  <si>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</si>
  <si>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</si>
  <si>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</si>
  <si>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</si>
  <si>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</si>
  <si>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</si>
  <si>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</si>
  <si>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</si>
  <si>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</si>
  <si>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</si>
  <si>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</si>
  <si>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</si>
  <si>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</si>
  <si>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</si>
  <si>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</si>
  <si>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</si>
  <si>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</si>
  <si>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</si>
  <si>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</si>
  <si>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</si>
  <si>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</si>
  <si>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</si>
  <si>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</si>
  <si>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</si>
  <si>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</si>
  <si>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</si>
  <si>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</si>
  <si>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</si>
  <si>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</si>
  <si>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</si>
  <si>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</si>
  <si>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</si>
  <si>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</si>
  <si>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</si>
  <si>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</si>
  <si>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</si>
  <si>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</si>
  <si>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</si>
  <si>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</si>
  <si>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</si>
  <si>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</si>
  <si>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</si>
  <si>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</si>
  <si>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</si>
  <si>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</si>
  <si>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</si>
  <si>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</si>
  <si>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</si>
  <si>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</si>
  <si>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</si>
  <si>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</si>
  <si>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</si>
  <si>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</si>
  <si>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</si>
  <si>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</si>
  <si>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</si>
  <si>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</si>
  <si>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</si>
  <si>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</si>
  <si>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</si>
  <si>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</si>
  <si>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</si>
  <si>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</si>
  <si>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</si>
  <si>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</si>
  <si>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</si>
  <si>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</si>
  <si>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</si>
  <si>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</si>
  <si>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</si>
  <si>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</si>
  <si>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</si>
  <si>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</si>
  <si>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</si>
  <si>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</si>
  <si>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</si>
  <si>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</si>
  <si>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</si>
  <si>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</si>
  <si>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</si>
  <si>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</si>
  <si>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</si>
  <si>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</si>
  <si>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</si>
  <si>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</si>
  <si>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</si>
  <si>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</si>
  <si>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</si>
  <si>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</si>
  <si>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</si>
  <si>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</si>
  <si>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</si>
  <si>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</si>
  <si>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</si>
  <si>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</si>
  <si>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</si>
  <si>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</si>
  <si>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</si>
  <si>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</si>
  <si>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</si>
  <si>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</si>
  <si>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</si>
  <si>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</si>
  <si>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</si>
  <si>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</si>
  <si>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</si>
  <si>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</si>
  <si>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</si>
  <si>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</si>
  <si>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</si>
  <si>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</si>
  <si>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</si>
  <si>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</si>
  <si>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</si>
  <si>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</si>
  <si>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</si>
  <si>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</si>
  <si>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</si>
  <si>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</si>
  <si>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</si>
  <si>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</si>
  <si>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</si>
  <si>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</si>
  <si>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</si>
  <si>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</si>
  <si>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</si>
  <si>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</si>
  <si>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</si>
  <si>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</si>
  <si>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</si>
  <si>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</si>
  <si>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</si>
  <si>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</si>
  <si>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</si>
  <si>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</si>
  <si>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</si>
  <si>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</si>
  <si>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</si>
  <si>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</si>
  <si>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</si>
  <si>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</si>
  <si>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</si>
  <si>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</si>
  <si>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</si>
  <si>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</si>
  <si>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</si>
  <si>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</si>
  <si>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</si>
  <si>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</si>
  <si>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</si>
  <si>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</si>
  <si>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</si>
  <si>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</si>
  <si>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</si>
  <si>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</si>
  <si>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</si>
  <si>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</si>
  <si>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</si>
  <si>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</si>
  <si>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</si>
  <si>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</si>
  <si>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</si>
  <si>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</si>
  <si>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</si>
  <si>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</si>
  <si>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</si>
  <si>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</si>
  <si>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</si>
  <si>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</si>
  <si>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</si>
  <si>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</si>
  <si>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</si>
  <si>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</si>
  <si>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</si>
  <si>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</si>
  <si>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</si>
  <si>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</si>
  <si>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</si>
  <si>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</si>
  <si>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</si>
  <si>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</si>
  <si>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</si>
  <si>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</si>
  <si>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</si>
  <si>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</si>
  <si>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</si>
  <si>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</si>
  <si>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</si>
  <si>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</si>
  <si>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</si>
  <si>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</si>
  <si>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</si>
  <si>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</si>
  <si>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</si>
  <si>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</si>
  <si>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</si>
  <si>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</si>
  <si>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</si>
  <si>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</si>
  <si>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</si>
  <si>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</si>
  <si>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</si>
  <si>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</si>
  <si>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</si>
  <si>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</si>
  <si>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</si>
  <si>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</si>
  <si>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</si>
  <si>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</si>
  <si>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</si>
  <si>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</si>
  <si>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</si>
  <si>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</si>
  <si>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</si>
  <si>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</si>
  <si>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</si>
  <si>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</si>
  <si>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</si>
  <si>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</si>
  <si>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</si>
  <si>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</si>
  <si>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</si>
  <si>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</si>
  <si>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</si>
  <si>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</si>
  <si>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</si>
  <si>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</si>
  <si>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</si>
  <si>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</si>
  <si>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</si>
  <si>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</si>
  <si>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</si>
  <si>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</si>
  <si>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</si>
  <si>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</si>
  <si>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</si>
  <si>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</si>
  <si>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</si>
  <si>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</si>
  <si>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</si>
  <si>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</si>
  <si>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</si>
  <si>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</si>
  <si>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</si>
  <si>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</si>
  <si>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</si>
  <si>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</si>
  <si>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</si>
  <si>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</si>
  <si>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</si>
  <si>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</si>
  <si>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</si>
  <si>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</si>
  <si>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</si>
  <si>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</si>
  <si>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</si>
  <si>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</si>
  <si>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</si>
  <si>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</si>
  <si>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</si>
  <si>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</si>
  <si>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</si>
  <si>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</si>
  <si>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</si>
  <si>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</si>
  <si>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</si>
  <si>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</si>
  <si>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</si>
  <si>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</si>
  <si>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</si>
  <si>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</si>
  <si>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</si>
  <si>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</si>
  <si>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</si>
  <si>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</si>
  <si>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</si>
  <si>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</si>
  <si>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</si>
  <si>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</si>
  <si>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</si>
  <si>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</si>
  <si>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</si>
  <si>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</si>
  <si>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</si>
  <si>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</si>
  <si>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</si>
  <si>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</si>
  <si>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</si>
  <si>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</si>
  <si>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</si>
  <si>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</si>
  <si>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</si>
  <si>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</si>
  <si>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</si>
  <si>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</si>
  <si>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</si>
  <si>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</si>
  <si>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</si>
  <si>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</si>
  <si>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</si>
  <si>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</si>
  <si>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</si>
  <si>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</si>
  <si>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</si>
  <si>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</si>
  <si>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</si>
  <si>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</si>
  <si>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</si>
  <si>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</si>
  <si>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</si>
  <si>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</si>
  <si>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</si>
  <si>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</si>
  <si>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</si>
  <si>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</si>
  <si>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</si>
  <si>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</si>
  <si>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</si>
  <si>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</si>
  <si>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</si>
  <si>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</si>
  <si>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</si>
  <si>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</si>
  <si>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</si>
  <si>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</si>
  <si>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</si>
  <si>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</si>
  <si>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</si>
  <si>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</si>
  <si>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</si>
  <si>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</si>
  <si>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</si>
  <si>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</si>
  <si>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</si>
  <si>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</si>
  <si>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</si>
  <si>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</si>
  <si>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</si>
  <si>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</si>
  <si>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</si>
  <si>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</si>
  <si>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</si>
  <si>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</si>
  <si>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</si>
  <si>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</si>
  <si>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</si>
  <si>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</si>
  <si>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</si>
  <si>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</si>
  <si>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</si>
  <si>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</si>
  <si>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</si>
  <si>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</si>
  <si>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</si>
  <si>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</si>
  <si>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</si>
  <si>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</si>
  <si>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</si>
  <si>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</si>
  <si>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</si>
  <si>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</si>
  <si>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</si>
  <si>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</si>
  <si>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</si>
  <si>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</si>
  <si>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</si>
  <si>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</si>
  <si>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</si>
  <si>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</si>
  <si>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</si>
  <si>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</si>
  <si>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</si>
  <si>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</si>
  <si>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</si>
  <si>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</si>
  <si>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</si>
  <si>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</si>
  <si>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</si>
  <si>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</si>
  <si>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</si>
  <si>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</si>
  <si>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</si>
  <si>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</si>
  <si>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</si>
  <si>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</si>
  <si>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</si>
  <si>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</si>
  <si>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</si>
  <si>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</si>
  <si>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</si>
  <si>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</si>
  <si>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</si>
  <si>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</si>
  <si>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</si>
  <si>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</si>
  <si>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</si>
  <si>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</si>
  <si>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</si>
  <si>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</si>
  <si>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</si>
  <si>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</si>
  <si>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</si>
  <si>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</si>
  <si>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</si>
  <si>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</si>
  <si>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</si>
  <si>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</si>
  <si>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</si>
  <si>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</si>
  <si>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</si>
  <si>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</si>
  <si>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</si>
  <si>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</si>
  <si>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</si>
  <si>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</si>
  <si>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</si>
  <si>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</si>
  <si>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</si>
  <si>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</si>
  <si>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</si>
  <si>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</si>
  <si>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</si>
  <si>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</si>
  <si>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</si>
  <si>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</si>
  <si>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</si>
  <si>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</si>
  <si>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</si>
  <si>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</si>
  <si>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</si>
  <si>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</si>
  <si>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</si>
  <si>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</si>
  <si>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</si>
  <si>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</si>
  <si>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</si>
  <si>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</si>
  <si>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</si>
  <si>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</si>
  <si>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</si>
  <si>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</si>
  <si>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</si>
  <si>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</si>
  <si>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</si>
  <si>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</si>
  <si>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</si>
  <si>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</si>
  <si>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</si>
  <si>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</si>
  <si>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</si>
  <si>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</si>
  <si>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</si>
  <si>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</si>
  <si>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</si>
  <si>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</si>
  <si>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</si>
  <si>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</si>
  <si>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</si>
  <si>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</si>
  <si>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</si>
  <si>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</si>
  <si>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</si>
  <si>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</si>
  <si>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</si>
  <si>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</si>
  <si>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</si>
  <si>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</si>
  <si>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</si>
  <si>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</si>
  <si>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</si>
  <si>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</si>
  <si>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</si>
  <si>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</si>
  <si>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</si>
  <si>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</si>
  <si>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</si>
  <si>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</si>
  <si>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</si>
  <si>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</si>
  <si>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</si>
  <si>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</si>
  <si>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</si>
  <si>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</si>
  <si>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</si>
  <si>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</si>
  <si>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</si>
  <si>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</si>
  <si>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</si>
  <si>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</si>
  <si>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</si>
  <si>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</si>
  <si>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</si>
  <si>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</si>
  <si>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</si>
  <si>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</si>
  <si>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</si>
  <si>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</si>
  <si>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</si>
  <si>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</si>
  <si>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</si>
  <si>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</si>
  <si>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</si>
  <si>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</si>
  <si>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</si>
  <si>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</si>
  <si>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</si>
  <si>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</si>
  <si>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</si>
  <si>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</si>
  <si>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</si>
  <si>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</si>
  <si>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</si>
  <si>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</si>
  <si>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</si>
  <si>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</si>
  <si>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</si>
  <si>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</si>
  <si>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</si>
  <si>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</si>
  <si>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</si>
  <si>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</si>
  <si>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</si>
  <si>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</si>
  <si>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</si>
  <si>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</si>
  <si>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</si>
  <si>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</si>
  <si>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</si>
  <si>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</si>
  <si>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</si>
  <si>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</si>
  <si>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</si>
  <si>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</si>
  <si>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</si>
  <si>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</si>
  <si>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</si>
  <si>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</si>
  <si>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</si>
  <si>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</si>
  <si>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</si>
  <si>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</si>
  <si>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</si>
  <si>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</si>
  <si>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</si>
  <si>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</si>
  <si>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</si>
  <si>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</si>
  <si>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</si>
  <si>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</si>
  <si>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</si>
  <si>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</si>
  <si>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</si>
  <si>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</si>
  <si>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</si>
  <si>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</si>
  <si>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</si>
  <si>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</si>
  <si>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</si>
  <si>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</si>
  <si>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</si>
  <si>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</si>
  <si>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</si>
  <si>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</si>
  <si>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</si>
  <si>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</si>
  <si>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</si>
  <si>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</si>
  <si>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</si>
  <si>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</si>
  <si>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</si>
  <si>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</si>
  <si>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</si>
  <si>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</si>
  <si>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</si>
  <si>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</si>
  <si>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</si>
  <si>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</si>
  <si>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</si>
  <si>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</si>
  <si>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</si>
  <si>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</si>
  <si>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</si>
  <si>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</si>
  <si>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</si>
  <si>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</si>
  <si>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</si>
  <si>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</si>
  <si>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</si>
  <si>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</si>
  <si>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</si>
  <si>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</si>
  <si>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</si>
  <si>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</si>
  <si>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</si>
  <si>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</si>
  <si>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</si>
  <si>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</si>
  <si>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</si>
  <si>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</si>
  <si>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</si>
  <si>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</si>
  <si>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</si>
  <si>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</si>
  <si>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</si>
  <si>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</si>
  <si>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</si>
  <si>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</si>
  <si>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</si>
  <si>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</si>
  <si>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</si>
  <si>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</si>
  <si>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</si>
  <si>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</si>
  <si>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</si>
  <si>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</si>
  <si>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</si>
  <si>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</si>
  <si>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</si>
  <si>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</si>
  <si>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</si>
  <si>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</si>
  <si>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</si>
  <si>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</si>
  <si>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</si>
  <si>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</si>
  <si>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</si>
  <si>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</si>
  <si>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</si>
  <si>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</si>
  <si>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</si>
  <si>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</si>
  <si>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</si>
  <si>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</si>
  <si>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</si>
  <si>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</si>
  <si>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</si>
  <si>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</si>
  <si>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</si>
  <si>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</si>
  <si>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</si>
  <si>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</si>
  <si>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</si>
  <si>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</si>
  <si>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</si>
  <si>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</si>
  <si>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</si>
  <si>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</si>
  <si>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</si>
  <si>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</si>
  <si>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</si>
  <si>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</si>
  <si>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</si>
  <si>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</si>
  <si>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</si>
  <si>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</si>
  <si>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</si>
  <si>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</si>
  <si>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</si>
  <si>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</si>
  <si>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</si>
  <si>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</si>
  <si>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</si>
  <si>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</si>
  <si>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</si>
  <si>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</si>
  <si>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</si>
  <si>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</si>
  <si>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</si>
  <si>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</si>
  <si>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</si>
  <si>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</si>
  <si>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</si>
  <si>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</si>
  <si>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</si>
  <si>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</si>
  <si>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</si>
  <si>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</si>
  <si>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</si>
  <si>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</si>
  <si>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</si>
  <si>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</si>
  <si>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</si>
  <si>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</si>
  <si>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</si>
  <si>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</si>
  <si>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</si>
  <si>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</si>
  <si>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</si>
  <si>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</si>
  <si>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</si>
  <si>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</si>
  <si>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</si>
  <si>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</si>
  <si>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</si>
  <si>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</si>
  <si>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</si>
  <si>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</si>
  <si>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</si>
  <si>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</si>
  <si>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</si>
  <si>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</si>
  <si>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</si>
  <si>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</si>
  <si>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</si>
  <si>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</si>
  <si>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</si>
  <si>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</si>
  <si>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</si>
  <si>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</si>
  <si>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</si>
  <si>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</si>
  <si>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</si>
  <si>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</si>
  <si>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</si>
  <si>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</si>
  <si>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</si>
  <si>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</si>
  <si>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</si>
  <si>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</si>
  <si>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</si>
  <si>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</si>
  <si>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</si>
  <si>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</si>
  <si>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</si>
  <si>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</si>
  <si>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</si>
  <si>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</si>
  <si>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</si>
  <si>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</si>
  <si>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</si>
  <si>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</si>
  <si>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</si>
  <si>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</si>
  <si>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</si>
  <si>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</si>
  <si>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</si>
  <si>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</si>
  <si>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</si>
  <si>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</si>
  <si>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</si>
  <si>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</si>
  <si>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</si>
  <si>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</si>
  <si>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</si>
  <si>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</si>
  <si>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</si>
  <si>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</si>
  <si>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</si>
  <si>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</si>
  <si>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</si>
  <si>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</si>
  <si>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</si>
  <si>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</si>
  <si>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</si>
  <si>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</si>
  <si>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</si>
  <si>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</si>
  <si>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</si>
  <si>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</si>
  <si>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</si>
  <si>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</si>
  <si>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</si>
  <si>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</si>
  <si>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</si>
  <si>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</si>
  <si>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</si>
  <si>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</si>
  <si>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</si>
  <si>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</si>
  <si>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</si>
  <si>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</si>
  <si>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</si>
  <si>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</si>
  <si>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</si>
  <si>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</si>
  <si>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</si>
  <si>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</si>
  <si>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</si>
  <si>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</si>
  <si>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</si>
  <si>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</si>
  <si>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</si>
  <si>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</si>
  <si>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</si>
  <si>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</si>
  <si>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</si>
  <si>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</si>
  <si>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</si>
  <si>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</si>
  <si>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</si>
  <si>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</si>
  <si>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</si>
  <si>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</si>
  <si>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</si>
  <si>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</si>
  <si>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</si>
  <si>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</si>
  <si>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</si>
  <si>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</si>
  <si>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</si>
  <si>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</si>
  <si>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</si>
  <si>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</si>
  <si>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</si>
  <si>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</si>
  <si>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</si>
  <si>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</si>
  <si>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</si>
  <si>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</si>
  <si>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</si>
  <si>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</si>
  <si>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</si>
  <si>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</si>
  <si>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</si>
  <si>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</si>
  <si>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</si>
  <si>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</si>
  <si>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</si>
  <si>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</si>
  <si>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</si>
  <si>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</si>
  <si>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</si>
  <si>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</si>
  <si>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</si>
  <si>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</si>
  <si>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</si>
  <si>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</si>
  <si>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</si>
  <si>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</si>
  <si>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</si>
  <si>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</si>
  <si>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</si>
  <si>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</si>
  <si>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</si>
  <si>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</si>
  <si>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</si>
  <si>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</si>
  <si>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</si>
  <si>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</si>
  <si>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</si>
  <si>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</si>
  <si>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</si>
  <si>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</si>
  <si>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</si>
  <si>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</si>
  <si>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</si>
  <si>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</si>
  <si>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</si>
  <si>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</si>
  <si>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</si>
  <si>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</si>
  <si>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</si>
  <si>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</si>
  <si>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</si>
  <si>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</si>
  <si>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</si>
  <si>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</si>
  <si>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</si>
  <si>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</si>
  <si>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</si>
  <si>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</si>
  <si>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</si>
  <si>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</si>
  <si>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</si>
  <si>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</si>
  <si>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</si>
  <si>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</si>
  <si>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</si>
  <si>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</si>
  <si>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</si>
  <si>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</si>
  <si>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</si>
  <si>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</si>
  <si>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</si>
  <si>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</si>
  <si>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</si>
  <si>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</si>
  <si>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</si>
  <si>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</si>
  <si>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</si>
  <si>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</si>
  <si>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</si>
  <si>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</si>
  <si>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</si>
  <si>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</si>
  <si>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</si>
  <si>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</si>
  <si>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</si>
  <si>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</si>
  <si>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</si>
  <si>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</si>
  <si>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</si>
  <si>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</si>
  <si>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</si>
  <si>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</si>
  <si>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</si>
  <si>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</si>
  <si>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</si>
  <si>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</si>
  <si>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</si>
  <si>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</si>
  <si>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</si>
  <si>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</si>
  <si>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</si>
  <si>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</si>
  <si>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</si>
  <si>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</si>
  <si>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</si>
  <si>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</si>
  <si>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</si>
  <si>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</si>
  <si>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</si>
  <si>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</si>
  <si>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</si>
  <si>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</si>
  <si>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</si>
  <si>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</si>
  <si>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</si>
  <si>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</si>
  <si>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</si>
  <si>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</si>
  <si>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</si>
  <si>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</si>
  <si>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</si>
  <si>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</si>
  <si>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</si>
  <si>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</si>
  <si>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</si>
  <si>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</si>
  <si>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</si>
  <si>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</si>
  <si>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</si>
  <si>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</si>
  <si>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</si>
  <si>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</si>
  <si>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</si>
  <si>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</si>
  <si>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</si>
  <si>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</si>
  <si>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</si>
  <si>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</si>
  <si>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</si>
  <si>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</si>
  <si>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</si>
  <si>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</si>
  <si>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</si>
  <si>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</si>
  <si>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</si>
  <si>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</si>
  <si>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</si>
  <si>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</si>
  <si>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</si>
  <si>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</si>
  <si>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</si>
  <si>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</si>
  <si>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</si>
  <si>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</si>
  <si>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</si>
  <si>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</si>
  <si>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</si>
  <si>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</si>
  <si>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</si>
  <si>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</si>
  <si>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</si>
  <si>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</si>
  <si>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</si>
  <si>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</si>
  <si>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</si>
  <si>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</si>
  <si>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</si>
  <si>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</si>
  <si>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</si>
  <si>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</si>
  <si>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</si>
  <si>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</si>
  <si>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</si>
  <si>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</si>
  <si>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</si>
  <si>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</si>
  <si>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</si>
  <si>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</si>
  <si>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</si>
  <si>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</si>
  <si>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</si>
  <si>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</si>
  <si>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</si>
  <si>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</si>
  <si>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</si>
  <si>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</si>
  <si>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</si>
  <si>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</si>
  <si>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</si>
  <si>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</si>
  <si>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</si>
  <si>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</si>
  <si>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</si>
  <si>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</si>
  <si>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</si>
  <si>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</si>
  <si>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</si>
  <si>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</si>
  <si>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</si>
  <si>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</si>
  <si>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</si>
  <si>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</si>
  <si>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</si>
  <si>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</si>
  <si>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</si>
  <si>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</si>
  <si>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</si>
  <si>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</si>
  <si>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</si>
  <si>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</si>
  <si>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</si>
  <si>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</si>
  <si>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</si>
  <si>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</si>
  <si>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</si>
  <si>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</si>
  <si>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</si>
  <si>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</si>
  <si>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</si>
  <si>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</si>
  <si>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</si>
  <si>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</si>
  <si>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</si>
  <si>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</si>
  <si>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</si>
  <si>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</si>
  <si>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</si>
  <si>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</si>
  <si>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</si>
  <si>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</si>
  <si>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</si>
  <si>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</si>
  <si>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</si>
  <si>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</si>
  <si>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</si>
  <si>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</si>
  <si>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</si>
  <si>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</si>
  <si>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</si>
  <si>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</si>
  <si>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</si>
  <si>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</si>
  <si>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</si>
  <si>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</si>
  <si>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</si>
  <si>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</si>
  <si>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</si>
  <si>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</si>
  <si>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</si>
  <si>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</si>
  <si>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</si>
  <si>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</si>
  <si>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</si>
  <si>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</si>
  <si>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</si>
  <si>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</si>
  <si>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</si>
  <si>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</si>
  <si>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</si>
  <si>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</si>
  <si>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</si>
  <si>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</si>
  <si>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</si>
  <si>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</si>
  <si>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</si>
  <si>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</si>
  <si>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</si>
  <si>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</si>
  <si>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</si>
  <si>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</si>
  <si>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</si>
  <si>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</si>
  <si>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</si>
  <si>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</si>
  <si>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</si>
  <si>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</si>
  <si>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</si>
  <si>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</si>
  <si>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</si>
  <si>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</si>
  <si>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</si>
  <si>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</si>
  <si>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</si>
  <si>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</si>
  <si>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</si>
  <si>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</si>
  <si>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</si>
  <si>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</si>
  <si>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</si>
  <si>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</si>
  <si>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</si>
  <si>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</si>
  <si>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</si>
  <si>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</si>
  <si>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</si>
  <si>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</si>
  <si>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</si>
  <si>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</si>
  <si>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</si>
  <si>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</si>
  <si>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</si>
  <si>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</si>
  <si>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</si>
  <si>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</si>
  <si>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</si>
  <si>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</si>
  <si>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</si>
  <si>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</si>
  <si>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</si>
  <si>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</si>
  <si>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</si>
  <si>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</si>
  <si>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</si>
  <si>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</si>
  <si>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</si>
  <si>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</si>
  <si>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</si>
  <si>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</si>
  <si>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</si>
  <si>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</si>
  <si>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</si>
  <si>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</si>
  <si>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</si>
  <si>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</si>
  <si>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</si>
  <si>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</si>
  <si>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</si>
  <si>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</si>
  <si>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</si>
  <si>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</si>
  <si>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</si>
  <si>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</si>
  <si>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</si>
  <si>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</si>
  <si>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</si>
  <si>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</si>
  <si>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</si>
  <si>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</si>
  <si>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</si>
  <si>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</si>
  <si>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</si>
  <si>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</si>
  <si>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</si>
  <si>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</si>
  <si>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</si>
  <si>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</si>
  <si>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</si>
  <si>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</si>
  <si>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</si>
  <si>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</si>
  <si>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</si>
  <si>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</si>
  <si>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</si>
  <si>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</si>
  <si>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</si>
  <si>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</si>
  <si>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</si>
  <si>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</si>
  <si>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</si>
  <si>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</si>
  <si>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</si>
  <si>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</si>
  <si>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</si>
  <si>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</si>
  <si>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</si>
  <si>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</si>
  <si>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</si>
  <si>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</si>
  <si>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</si>
  <si>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</si>
  <si>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</si>
  <si>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</si>
  <si>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</si>
  <si>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</si>
  <si>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</si>
  <si>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</si>
  <si>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</si>
  <si>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</si>
  <si>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</si>
  <si>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</si>
  <si>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</si>
  <si>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</si>
  <si>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</si>
  <si>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</si>
  <si>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</si>
  <si>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</si>
  <si>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</si>
  <si>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</si>
  <si>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</si>
  <si>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</si>
  <si>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</si>
  <si>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</si>
  <si>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</si>
  <si>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</si>
  <si>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</si>
  <si>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</si>
  <si>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</si>
  <si>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</si>
  <si>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</si>
  <si>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</si>
  <si>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</si>
  <si>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</si>
  <si>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</si>
  <si>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</si>
  <si>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</si>
  <si>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</si>
  <si>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</si>
  <si>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</si>
  <si>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</si>
  <si>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</si>
  <si>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</si>
  <si>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</si>
  <si>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</si>
  <si>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</si>
  <si>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</si>
  <si>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</si>
  <si>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</si>
  <si>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</si>
  <si>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</si>
  <si>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</si>
  <si>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</si>
  <si>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</si>
  <si>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</si>
  <si>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</si>
  <si>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</si>
  <si>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</si>
  <si>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</si>
  <si>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</si>
  <si>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</si>
  <si>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</si>
  <si>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</si>
  <si>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</si>
  <si>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</si>
  <si>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</si>
  <si>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</si>
  <si>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</si>
  <si>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</si>
  <si>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</si>
  <si>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</si>
  <si>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</si>
  <si>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</si>
  <si>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</si>
  <si>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</si>
  <si>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</si>
  <si>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</si>
  <si>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</si>
  <si>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</si>
  <si>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</si>
  <si>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</si>
  <si>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</si>
  <si>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</si>
  <si>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</si>
  <si>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</si>
  <si>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</si>
  <si>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</si>
  <si>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</si>
  <si>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</si>
  <si>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</si>
  <si>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</si>
  <si>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</si>
  <si>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</si>
  <si>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</si>
  <si>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</si>
  <si>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</si>
  <si>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</si>
  <si>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</si>
  <si>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</si>
  <si>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</si>
  <si>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</si>
  <si>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</si>
  <si>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</si>
  <si>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</si>
  <si>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</si>
  <si>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</si>
  <si>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</si>
  <si>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</si>
  <si>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</si>
  <si>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</si>
  <si>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</si>
  <si>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</si>
  <si>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</si>
  <si>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</si>
  <si>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</si>
  <si>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</si>
  <si>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</si>
  <si>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</si>
  <si>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</si>
  <si>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</si>
  <si>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</si>
  <si>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</si>
  <si>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</si>
  <si>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</si>
  <si>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</si>
  <si>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</si>
  <si>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</si>
  <si>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</si>
  <si>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</si>
  <si>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</si>
  <si>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</si>
  <si>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</si>
  <si>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</si>
  <si>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</si>
  <si>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</si>
  <si>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</si>
  <si>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</si>
  <si>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</si>
  <si>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</si>
  <si>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</si>
  <si>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</si>
  <si>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</si>
  <si>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</si>
  <si>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</si>
  <si>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</si>
  <si>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</si>
  <si>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</si>
  <si>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</si>
  <si>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</si>
  <si>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</si>
  <si>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</si>
  <si>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</si>
  <si>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</si>
  <si>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</si>
  <si>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</si>
  <si>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</si>
  <si>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</si>
  <si>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</si>
  <si>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</si>
  <si>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</si>
  <si>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</si>
  <si>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</si>
  <si>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</si>
  <si>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</si>
  <si>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</si>
  <si>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</si>
  <si>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</si>
  <si>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</si>
  <si>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</si>
  <si>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</si>
  <si>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</si>
  <si>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</si>
  <si>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</si>
  <si>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</si>
  <si>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</si>
  <si>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</si>
  <si>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</si>
  <si>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</si>
  <si>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</si>
  <si>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</si>
  <si>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</si>
  <si>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</si>
  <si>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</si>
  <si>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</si>
  <si>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</si>
  <si>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</si>
  <si>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</si>
  <si>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</si>
  <si>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</si>
  <si>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</si>
  <si>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</si>
  <si>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</si>
  <si>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</si>
  <si>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</si>
  <si>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</si>
  <si>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</si>
  <si>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</si>
  <si>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</si>
  <si>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</si>
  <si>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</si>
  <si>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</si>
  <si>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</si>
  <si>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</si>
  <si>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</si>
  <si>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</si>
  <si>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</si>
  <si>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</si>
  <si>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</si>
  <si>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</si>
  <si>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</si>
  <si>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</si>
  <si>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</si>
  <si>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</si>
  <si>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</si>
  <si>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</si>
  <si>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</si>
  <si>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</si>
  <si>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</si>
  <si>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</si>
  <si>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</si>
  <si>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</si>
  <si>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</si>
  <si>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</si>
  <si>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</si>
  <si>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</si>
  <si>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</si>
  <si>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</si>
  <si>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</si>
  <si>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</si>
  <si>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</si>
  <si>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</si>
  <si>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</si>
  <si>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</si>
  <si>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</si>
  <si>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</si>
  <si>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</si>
  <si>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</si>
  <si>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</si>
  <si>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</si>
  <si>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</si>
  <si>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</si>
  <si>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</si>
  <si>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</si>
  <si>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</si>
  <si>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</si>
  <si>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</si>
  <si>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</si>
  <si>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</si>
  <si>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</si>
  <si>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</si>
  <si>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</si>
  <si>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</si>
  <si>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</si>
  <si>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</si>
  <si>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</si>
  <si>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</si>
  <si>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</si>
  <si>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</si>
  <si>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</si>
  <si>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</si>
  <si>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</si>
  <si>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</si>
  <si>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</si>
  <si>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</si>
  <si>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</si>
  <si>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</si>
  <si>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</si>
  <si>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</si>
  <si>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</si>
  <si>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</si>
  <si>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</si>
  <si>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</si>
  <si>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</si>
  <si>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</si>
  <si>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</si>
  <si>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</si>
  <si>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</si>
  <si>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</si>
  <si>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</si>
  <si>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</si>
  <si>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</si>
  <si>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</si>
  <si>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</si>
  <si>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</si>
  <si>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</si>
  <si>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</si>
  <si>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</si>
  <si>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</si>
  <si>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</si>
  <si>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</si>
  <si>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</si>
  <si>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</si>
  <si>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</si>
  <si>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</si>
  <si>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</si>
  <si>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</si>
  <si>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</si>
  <si>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</si>
  <si>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</si>
  <si>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</si>
  <si>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</si>
  <si>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</si>
  <si>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</si>
  <si>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</si>
  <si>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</si>
  <si>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</si>
  <si>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</si>
  <si>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</si>
  <si>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</si>
  <si>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</si>
  <si>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</si>
  <si>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</si>
  <si>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</si>
  <si>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</si>
  <si>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</si>
  <si>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</si>
  <si>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</si>
  <si>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</si>
  <si>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</si>
  <si>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</si>
  <si>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</si>
  <si>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</si>
  <si>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</si>
  <si>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</si>
  <si>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</si>
  <si>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</si>
  <si>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</si>
  <si>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</si>
  <si>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</si>
  <si>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</si>
  <si>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</si>
  <si>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</si>
  <si>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</si>
  <si>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</si>
  <si>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</si>
  <si>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</si>
  <si>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</si>
  <si>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</si>
  <si>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</si>
  <si>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</si>
  <si>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</si>
  <si>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</si>
  <si>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</si>
  <si>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</si>
  <si>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</si>
  <si>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</si>
  <si>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</si>
  <si>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</si>
  <si>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</si>
  <si>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</si>
  <si>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</si>
  <si>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</si>
  <si>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</si>
  <si>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</si>
  <si>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</si>
  <si>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</si>
  <si>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</si>
  <si>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</si>
  <si>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</si>
  <si>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</si>
  <si>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</si>
  <si>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</si>
  <si>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</si>
  <si>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</si>
  <si>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</si>
  <si>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</si>
  <si>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</si>
  <si>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</si>
  <si>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</si>
  <si>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</si>
  <si>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</si>
  <si>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</si>
  <si>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</si>
  <si>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</si>
  <si>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</si>
  <si>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</si>
  <si>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</si>
  <si>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</si>
  <si>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</si>
  <si>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</si>
  <si>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</si>
  <si>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</si>
  <si>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</si>
  <si>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</si>
  <si>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</si>
  <si>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</si>
  <si>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</si>
  <si>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</si>
  <si>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</si>
  <si>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</si>
  <si>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</si>
  <si>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</si>
  <si>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</si>
  <si>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</si>
  <si>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</si>
  <si>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</si>
  <si>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</si>
  <si>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</si>
  <si>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</si>
  <si>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</si>
  <si>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</si>
  <si>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</si>
  <si>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</si>
  <si>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</si>
  <si>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</si>
  <si>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</si>
  <si>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</si>
  <si>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</si>
  <si>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</si>
  <si>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</si>
  <si>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</si>
  <si>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</si>
  <si>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</si>
  <si>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</si>
  <si>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</si>
  <si>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</si>
  <si>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</si>
  <si>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</si>
  <si>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</si>
  <si>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</si>
  <si>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</si>
  <si>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</si>
  <si>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</si>
  <si>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</si>
  <si>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</si>
  <si>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</si>
  <si>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</si>
  <si>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</si>
  <si>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</si>
  <si>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</si>
  <si>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</si>
  <si>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</si>
  <si>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</si>
  <si>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</si>
  <si>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</si>
  <si>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</si>
  <si>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</si>
  <si>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</si>
  <si>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</si>
  <si>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</si>
  <si>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</si>
  <si>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</si>
  <si>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</si>
  <si>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</si>
  <si>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</si>
  <si>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</si>
  <si>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</si>
  <si>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</si>
  <si>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</si>
  <si>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</si>
  <si>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</si>
  <si>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</si>
  <si>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</si>
  <si>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</si>
  <si>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</si>
  <si>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</si>
  <si>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</si>
  <si>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</si>
  <si>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</si>
  <si>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</si>
  <si>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</si>
  <si>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</si>
  <si>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</si>
  <si>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</si>
  <si>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</si>
  <si>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</si>
  <si>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</si>
  <si>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</si>
  <si>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</si>
  <si>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</si>
  <si>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</si>
  <si>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</si>
  <si>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</si>
  <si>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</si>
  <si>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</si>
  <si>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</si>
  <si>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</si>
  <si>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</si>
  <si>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</si>
  <si>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</si>
  <si>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</si>
  <si>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</si>
  <si>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</si>
  <si>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</si>
  <si>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</si>
  <si>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</si>
  <si>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</si>
  <si>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</si>
  <si>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</si>
  <si>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</si>
  <si>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</si>
  <si>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</si>
  <si>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</si>
  <si>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</si>
  <si>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</si>
  <si>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</si>
  <si>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</si>
  <si>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</si>
  <si>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</si>
  <si>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</si>
  <si>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</si>
  <si>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</si>
  <si>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</si>
  <si>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</si>
  <si>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</si>
  <si>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</si>
  <si>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</si>
  <si>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</si>
  <si>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</si>
  <si>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</si>
  <si>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</si>
  <si>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</si>
  <si>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</si>
  <si>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</si>
  <si>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</si>
  <si>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</si>
  <si>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</si>
  <si>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</si>
  <si>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</si>
  <si>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</si>
  <si>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</si>
  <si>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</si>
  <si>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</si>
  <si>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</si>
  <si>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</si>
  <si>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</si>
  <si>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</si>
  <si>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</si>
  <si>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</si>
  <si>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</si>
  <si>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</si>
  <si>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</si>
  <si>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</si>
  <si>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</si>
  <si>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</si>
  <si>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</si>
  <si>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</si>
  <si>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</si>
  <si>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</si>
  <si>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</si>
  <si>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</si>
  <si>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</si>
  <si>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</si>
  <si>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</si>
  <si>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</si>
  <si>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</si>
  <si>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</si>
  <si>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</si>
  <si>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</si>
  <si>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</si>
  <si>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</si>
  <si>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</si>
  <si>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</si>
  <si>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</si>
  <si>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</si>
  <si>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</si>
  <si>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</si>
  <si>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</si>
  <si>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</si>
  <si>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</si>
  <si>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</si>
  <si>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</si>
  <si>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</si>
  <si>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</si>
  <si>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</si>
  <si>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</si>
  <si>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</si>
  <si>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</si>
  <si>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</si>
  <si>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</si>
  <si>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</si>
  <si>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</si>
  <si>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</si>
  <si>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</si>
  <si>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</si>
  <si>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</si>
  <si>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</si>
  <si>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</si>
  <si>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</si>
  <si>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</si>
  <si>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</si>
  <si>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</si>
  <si>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</si>
  <si>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</si>
  <si>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</si>
  <si>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</si>
  <si>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</si>
  <si>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</si>
  <si>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</si>
  <si>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</si>
  <si>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</si>
  <si>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</si>
  <si>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</si>
  <si>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</si>
  <si>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</si>
  <si>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</si>
  <si>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</si>
  <si>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</si>
  <si>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</si>
  <si>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</si>
  <si>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</si>
  <si>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</si>
  <si>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</si>
  <si>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</si>
  <si>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</si>
  <si>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</si>
  <si>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</si>
  <si>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</si>
  <si>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</si>
  <si>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</si>
  <si>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</si>
  <si>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</si>
  <si>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</si>
  <si>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</si>
  <si>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</si>
  <si>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</si>
  <si>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</si>
  <si>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</si>
  <si>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</si>
  <si>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</si>
  <si>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</si>
  <si>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</si>
  <si>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</si>
  <si>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</si>
  <si>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</si>
  <si>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</si>
  <si>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</si>
  <si>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</si>
  <si>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</si>
  <si>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</si>
  <si>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</si>
  <si>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</si>
  <si>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</si>
  <si>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</si>
  <si>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</si>
  <si>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</si>
  <si>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</si>
  <si>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</si>
  <si>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</si>
  <si>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</si>
  <si>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</si>
  <si>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</si>
  <si>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</si>
  <si>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</si>
  <si>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</si>
  <si>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</si>
  <si>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</si>
  <si>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</si>
  <si>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</si>
  <si>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</si>
  <si>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</si>
  <si>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</si>
  <si>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</si>
  <si>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</si>
  <si>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</si>
  <si>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</si>
  <si>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</si>
  <si>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</si>
  <si>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</si>
  <si>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</si>
  <si>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</si>
  <si>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</si>
  <si>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</si>
  <si>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</si>
  <si>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</si>
  <si>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</si>
  <si>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</si>
  <si>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</si>
  <si>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</si>
  <si>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</si>
  <si>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</si>
  <si>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</si>
  <si>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</si>
  <si>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</si>
  <si>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</si>
  <si>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</si>
  <si>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</si>
  <si>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</si>
  <si>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</si>
  <si>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</si>
  <si>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</si>
  <si>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</si>
  <si>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</si>
  <si>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</si>
  <si>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</si>
  <si>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</si>
  <si>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</si>
  <si>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</si>
  <si>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</si>
  <si>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</si>
  <si>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</si>
  <si>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</si>
  <si>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</si>
  <si>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</si>
  <si>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</si>
  <si>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</si>
  <si>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</si>
  <si>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</si>
  <si>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</si>
  <si>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</si>
  <si>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</si>
  <si>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</si>
  <si>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</si>
  <si>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</si>
  <si>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</si>
  <si>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</si>
  <si>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</si>
  <si>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</si>
  <si>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</si>
  <si>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</si>
  <si>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</si>
  <si>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</si>
  <si>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</si>
  <si>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</si>
  <si>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</si>
  <si>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</si>
  <si>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</si>
  <si>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</si>
  <si>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</si>
  <si>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</si>
  <si>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</si>
  <si>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</si>
  <si>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</si>
  <si>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</si>
  <si>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</si>
  <si>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</si>
  <si>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</si>
  <si>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</si>
  <si>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</si>
  <si>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</si>
  <si>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</si>
  <si>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</si>
  <si>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</si>
  <si>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</si>
  <si>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</si>
  <si>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</si>
  <si>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</si>
  <si>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</si>
  <si>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</si>
  <si>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</si>
  <si>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</si>
  <si>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</si>
  <si>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</si>
  <si>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</si>
  <si>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</si>
  <si>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</si>
  <si>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</si>
  <si>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</si>
  <si>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</si>
  <si>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</si>
  <si>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</si>
  <si>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</si>
  <si>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</si>
  <si>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</si>
  <si>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</si>
  <si>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</si>
  <si>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</si>
  <si>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</si>
  <si>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</si>
  <si>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</si>
  <si>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</si>
  <si>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</si>
  <si>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</si>
  <si>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</si>
  <si>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</si>
  <si>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</si>
  <si>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</si>
  <si>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</si>
  <si>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</si>
  <si>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</si>
  <si>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</si>
  <si>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</si>
  <si>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</si>
  <si>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</si>
  <si>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</si>
  <si>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</si>
  <si>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</si>
  <si>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</si>
  <si>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</si>
  <si>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</si>
  <si>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</si>
  <si>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</si>
  <si>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</si>
  <si>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</si>
  <si>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</si>
  <si>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</si>
  <si>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</si>
  <si>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</si>
  <si>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</si>
  <si>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</si>
  <si>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</si>
  <si>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</si>
  <si>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</si>
  <si>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</si>
  <si>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</si>
  <si>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</si>
  <si>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</si>
  <si>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</si>
  <si>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</si>
  <si>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</si>
  <si>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</si>
  <si>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</si>
  <si>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</si>
  <si>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</si>
  <si>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</si>
  <si>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</si>
  <si>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</si>
  <si>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</si>
  <si>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</si>
  <si>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</si>
  <si>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</si>
  <si>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</si>
  <si>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</si>
  <si>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</si>
  <si>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</si>
  <si>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</si>
  <si>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</si>
  <si>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</si>
  <si>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</si>
  <si>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</si>
  <si>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</si>
  <si>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</si>
  <si>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</si>
  <si>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</si>
  <si>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</si>
  <si>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</si>
  <si>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</si>
  <si>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</si>
  <si>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</si>
  <si>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</si>
  <si>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</si>
  <si>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</si>
  <si>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</si>
  <si>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</si>
  <si>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</si>
  <si>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</si>
  <si>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</si>
  <si>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</si>
  <si>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</si>
  <si>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</si>
  <si>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</si>
  <si>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</si>
  <si>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</si>
  <si>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</si>
  <si>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</si>
  <si>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</si>
  <si>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</si>
  <si>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</si>
  <si>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</si>
  <si>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</si>
  <si>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</si>
  <si>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</si>
  <si>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</si>
  <si>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</si>
  <si>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</si>
  <si>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</si>
  <si>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</si>
  <si>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</si>
  <si>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</si>
  <si>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</si>
  <si>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</si>
  <si>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</si>
  <si>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</si>
  <si>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</si>
  <si>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</si>
  <si>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</si>
  <si>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</si>
  <si>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</si>
  <si>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</si>
  <si>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</si>
  <si>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</si>
  <si>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</si>
  <si>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</si>
  <si>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</si>
  <si>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</si>
  <si>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</si>
  <si>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</si>
  <si>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</si>
  <si>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</si>
  <si>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</si>
  <si>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</si>
  <si>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</si>
  <si>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</si>
  <si>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</si>
  <si>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</si>
  <si>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</si>
  <si>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</si>
  <si>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</si>
  <si>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</si>
  <si>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</si>
  <si>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</si>
  <si>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</si>
  <si>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</si>
  <si>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</si>
  <si>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</si>
  <si>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</si>
  <si>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</si>
  <si>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</si>
  <si>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</si>
  <si>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</si>
  <si>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</si>
  <si>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</si>
  <si>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</si>
  <si>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</si>
  <si>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</si>
  <si>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</si>
  <si>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</si>
  <si>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</si>
  <si>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</si>
  <si>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</si>
  <si>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</si>
  <si>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</si>
  <si>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</si>
  <si>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</si>
  <si>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</si>
  <si>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</si>
  <si>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</si>
  <si>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</si>
  <si>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</si>
  <si>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</si>
  <si>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</si>
  <si>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</si>
  <si>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</si>
  <si>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</si>
  <si>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</si>
  <si>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</si>
  <si>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</si>
  <si>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</si>
  <si>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</si>
  <si>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</si>
  <si>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</si>
  <si>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</si>
  <si>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</si>
  <si>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</si>
  <si>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</si>
  <si>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</si>
  <si>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</si>
  <si>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</si>
  <si>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</si>
  <si>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</si>
  <si>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</si>
  <si>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</si>
  <si>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</si>
  <si>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</si>
  <si>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</si>
  <si>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</si>
  <si>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</si>
  <si>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</si>
  <si>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</si>
  <si>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</si>
  <si>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</si>
  <si>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</si>
  <si>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</si>
  <si>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</si>
  <si>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</si>
  <si>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</si>
  <si>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</si>
  <si>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</si>
  <si>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</si>
  <si>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</si>
  <si>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</si>
  <si>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</si>
  <si>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</si>
  <si>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</si>
  <si>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</si>
  <si>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</si>
  <si>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</si>
  <si>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</si>
  <si>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</si>
  <si>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</si>
  <si>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</si>
  <si>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</si>
  <si>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</si>
  <si>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</si>
  <si>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</si>
  <si>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</si>
  <si>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</si>
  <si>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</si>
  <si>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</si>
  <si>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</si>
  <si>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</si>
  <si>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</si>
  <si>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</si>
  <si>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</si>
  <si>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</si>
  <si>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</si>
  <si>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</si>
  <si>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</si>
  <si>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</si>
  <si>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</si>
  <si>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</si>
  <si>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</si>
  <si>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</si>
  <si>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</si>
  <si>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</si>
  <si>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</si>
  <si>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</si>
  <si>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</si>
  <si>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</si>
  <si>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</si>
  <si>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</si>
  <si>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</si>
  <si>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</si>
  <si>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</si>
  <si>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</si>
  <si>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</si>
  <si>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</si>
  <si>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</si>
  <si>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</si>
  <si>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</si>
  <si>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</si>
  <si>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</si>
  <si>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</si>
  <si>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</si>
  <si>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</si>
  <si>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</si>
  <si>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</si>
  <si>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</si>
  <si>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</si>
  <si>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</si>
  <si>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</si>
  <si>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</si>
  <si>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</si>
  <si>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</si>
  <si>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</si>
  <si>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</si>
  <si>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</si>
  <si>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</si>
  <si>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</si>
  <si>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</si>
  <si>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</si>
  <si>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</si>
  <si>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</si>
  <si>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</si>
  <si>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</si>
  <si>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</si>
  <si>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</si>
  <si>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</si>
  <si>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</si>
  <si>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</si>
  <si>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</si>
  <si>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</si>
  <si>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</si>
  <si>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</si>
  <si>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</si>
  <si>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</si>
  <si>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</si>
  <si>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</si>
  <si>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</si>
  <si>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</si>
  <si>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</si>
  <si>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</si>
  <si>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</si>
  <si>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</si>
  <si>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</si>
  <si>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</si>
  <si>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</si>
  <si>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</si>
  <si>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</si>
  <si>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</si>
  <si>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</si>
  <si>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</si>
  <si>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</si>
  <si>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</si>
  <si>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</si>
  <si>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</si>
  <si>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</si>
  <si>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</si>
  <si>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</si>
  <si>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</si>
  <si>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</si>
  <si>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</si>
  <si>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</si>
  <si>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</si>
  <si>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</si>
  <si>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</si>
  <si>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</si>
  <si>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</si>
  <si>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</si>
  <si>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</si>
  <si>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</si>
  <si>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</si>
  <si>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</si>
  <si>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</si>
  <si>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</si>
  <si>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</si>
  <si>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</si>
  <si>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</si>
  <si>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</si>
  <si>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</si>
  <si>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</si>
  <si>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</si>
  <si>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</si>
  <si>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</si>
  <si>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</si>
  <si>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</si>
  <si>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</si>
  <si>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</si>
  <si>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</si>
  <si>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</si>
  <si>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</si>
  <si>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</si>
  <si>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</si>
  <si>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</si>
  <si>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</si>
  <si>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</si>
  <si>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</si>
  <si>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</si>
  <si>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</si>
  <si>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</si>
  <si>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</si>
  <si>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</si>
  <si>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</si>
  <si>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</si>
  <si>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</si>
  <si>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</si>
  <si>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</si>
  <si>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</si>
  <si>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</si>
  <si>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</si>
  <si>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</si>
  <si>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</si>
  <si>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</si>
  <si>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</si>
  <si>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</si>
  <si>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</si>
  <si>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</si>
  <si>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</si>
  <si>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</si>
  <si>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</si>
  <si>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</si>
  <si>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</si>
  <si>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</si>
  <si>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</si>
  <si>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</si>
  <si>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</si>
  <si>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</si>
  <si>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</si>
  <si>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</si>
  <si>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</si>
  <si>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</si>
  <si>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</si>
  <si>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</si>
  <si>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</si>
  <si>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</si>
  <si>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</si>
  <si>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</si>
  <si>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</si>
  <si>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</si>
  <si>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</si>
  <si>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</si>
  <si>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</si>
  <si>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</si>
  <si>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</si>
  <si>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</si>
  <si>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</si>
  <si>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</si>
  <si>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</si>
  <si>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</si>
  <si>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</si>
  <si>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</si>
  <si>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</si>
  <si>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</si>
  <si>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</si>
  <si>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</si>
  <si>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</si>
  <si>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</si>
  <si>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</si>
  <si>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</si>
  <si>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</si>
  <si>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</si>
  <si>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</si>
  <si>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</si>
  <si>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</si>
  <si>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</si>
  <si>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</si>
  <si>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</si>
  <si>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</si>
  <si>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</si>
  <si>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</si>
  <si>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</si>
  <si>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</si>
  <si>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</si>
  <si>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</si>
  <si>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</si>
  <si>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</si>
  <si>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</si>
  <si>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</si>
  <si>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</si>
  <si>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</si>
  <si>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</si>
  <si>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</si>
  <si>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</si>
  <si>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</si>
  <si>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</si>
  <si>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</si>
  <si>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</si>
  <si>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</si>
  <si>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</si>
  <si>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</si>
  <si>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</si>
  <si>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</si>
  <si>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</si>
  <si>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</si>
  <si>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</si>
  <si>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</si>
  <si>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</si>
  <si>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</si>
  <si>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</si>
  <si>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</si>
  <si>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</si>
  <si>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</si>
  <si>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</si>
  <si>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</si>
  <si>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</si>
  <si>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</si>
  <si>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</si>
  <si>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</si>
  <si>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</si>
  <si>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</si>
  <si>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</si>
  <si>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</si>
  <si>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</si>
  <si>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</si>
  <si>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</si>
  <si>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</si>
  <si>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</si>
  <si>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</si>
  <si>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</si>
  <si>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</si>
  <si>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</si>
  <si>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</si>
  <si>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</si>
  <si>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</si>
  <si>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</si>
  <si>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</si>
  <si>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</si>
  <si>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</si>
  <si>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</si>
  <si>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</si>
  <si>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</si>
  <si>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</si>
  <si>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</si>
  <si>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</si>
  <si>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</si>
  <si>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</si>
  <si>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</si>
  <si>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</si>
  <si>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</si>
  <si>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</si>
  <si>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</si>
  <si>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</si>
  <si>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</si>
  <si>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</si>
  <si>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</si>
  <si>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</si>
  <si>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</si>
  <si>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</si>
  <si>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</si>
  <si>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</si>
  <si>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</si>
  <si>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</si>
  <si>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</si>
  <si>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</si>
  <si>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</si>
  <si>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</si>
  <si>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</si>
  <si>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</si>
  <si>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</si>
  <si>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</si>
  <si>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</si>
  <si>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</si>
  <si>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</si>
  <si>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</si>
  <si>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</si>
  <si>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</si>
  <si>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</si>
  <si>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</si>
  <si>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</si>
  <si>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</si>
  <si>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</si>
  <si>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</si>
  <si>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</si>
  <si>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</si>
  <si>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</si>
  <si>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</si>
  <si>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</si>
  <si>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</si>
  <si>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</si>
  <si>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</si>
  <si>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</si>
  <si>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</si>
  <si>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</si>
  <si>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</si>
  <si>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</si>
  <si>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</si>
  <si>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</si>
  <si>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</si>
  <si>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</si>
  <si>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</si>
  <si>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</si>
  <si>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</si>
  <si>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</si>
  <si>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</si>
  <si>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</si>
  <si>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</si>
  <si>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</si>
  <si>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</si>
  <si>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</si>
  <si>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</si>
  <si>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</si>
  <si>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</si>
  <si>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</si>
  <si>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</si>
  <si>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</si>
  <si>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</si>
  <si>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</si>
  <si>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</si>
  <si>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</si>
  <si>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</si>
  <si>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</si>
  <si>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</si>
  <si>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</si>
  <si>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</si>
  <si>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</si>
  <si>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</si>
  <si>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</si>
  <si>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</si>
  <si>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</si>
  <si>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</si>
  <si>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</si>
  <si>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</si>
  <si>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</si>
  <si>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</si>
  <si>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</si>
  <si>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</si>
  <si>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</si>
  <si>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</si>
  <si>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</si>
  <si>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</si>
  <si>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</si>
  <si>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</si>
  <si>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</si>
  <si>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</si>
  <si>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</si>
  <si>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</si>
  <si>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</si>
  <si>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</si>
  <si>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</si>
  <si>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</si>
  <si>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</si>
  <si>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</si>
  <si>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</si>
  <si>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</si>
  <si>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</si>
  <si>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</si>
  <si>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</si>
  <si>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</si>
  <si>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</si>
  <si>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</si>
  <si>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</si>
  <si>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</si>
  <si>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</si>
  <si>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</si>
  <si>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</si>
  <si>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</si>
  <si>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</si>
  <si>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</si>
  <si>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</si>
  <si>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</si>
  <si>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</si>
  <si>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</si>
  <si>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</si>
  <si>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</si>
  <si>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</si>
  <si>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</si>
  <si>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</si>
  <si>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</si>
  <si>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</si>
  <si>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</si>
  <si>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</si>
  <si>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</si>
  <si>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</si>
  <si>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</si>
  <si>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</si>
  <si>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</si>
  <si>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</si>
  <si>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</si>
  <si>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</si>
  <si>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</si>
  <si>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</si>
  <si>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</si>
  <si>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</si>
  <si>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</si>
  <si>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</si>
  <si>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</si>
  <si>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</si>
  <si>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</si>
  <si>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</si>
  <si>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</si>
  <si>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</si>
  <si>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</si>
  <si>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</si>
  <si>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</si>
  <si>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</si>
  <si>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</si>
  <si>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</si>
  <si>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</si>
  <si>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</si>
  <si>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</si>
  <si>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</si>
  <si>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</si>
  <si>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</si>
  <si>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</si>
  <si>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</si>
  <si>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</si>
  <si>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</si>
  <si>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</si>
  <si>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</si>
  <si>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</si>
  <si>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</si>
  <si>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</si>
  <si>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</si>
  <si>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</si>
  <si>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</si>
  <si>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</si>
  <si>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</si>
  <si>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</si>
  <si>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</si>
  <si>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</si>
  <si>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</si>
  <si>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</si>
  <si>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</si>
  <si>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</si>
  <si>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</si>
  <si>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</si>
  <si>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</si>
  <si>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</si>
  <si>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</si>
  <si>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</si>
  <si>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</si>
  <si>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</si>
  <si>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</si>
  <si>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</si>
  <si>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</si>
  <si>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</si>
  <si>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</si>
  <si>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</si>
  <si>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</si>
  <si>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</si>
  <si>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</si>
  <si>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</si>
  <si>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</si>
  <si>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</si>
  <si>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</si>
  <si>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</si>
  <si>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</si>
  <si>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</si>
  <si>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</si>
  <si>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</si>
  <si>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</si>
  <si>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</si>
  <si>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</si>
  <si>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</si>
  <si>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</si>
  <si>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</si>
  <si>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</si>
  <si>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</si>
  <si>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</si>
  <si>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</si>
  <si>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</si>
  <si>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</si>
  <si>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</si>
  <si>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</si>
  <si>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</si>
  <si>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</si>
  <si>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</si>
  <si>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</si>
  <si>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</si>
  <si>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</si>
  <si>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</si>
  <si>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</si>
  <si>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</si>
  <si>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</si>
  <si>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</si>
  <si>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</si>
  <si>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</si>
  <si>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</si>
  <si>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</si>
  <si>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</si>
  <si>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</si>
  <si>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</si>
  <si>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</si>
  <si>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</si>
  <si>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</si>
  <si>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</si>
  <si>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</si>
  <si>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</si>
  <si>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</si>
  <si>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</si>
  <si>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</si>
  <si>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</si>
  <si>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</si>
  <si>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</si>
  <si>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</si>
  <si>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</si>
  <si>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</si>
  <si>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</si>
  <si>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</si>
  <si>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</si>
  <si>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</si>
  <si>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</si>
  <si>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</si>
  <si>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</si>
  <si>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</si>
  <si>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</si>
  <si>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</si>
  <si>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</si>
  <si>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</si>
  <si>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</si>
  <si>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</si>
  <si>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</si>
  <si>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</si>
  <si>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</si>
  <si>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</si>
  <si>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</si>
  <si>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</si>
  <si>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</si>
  <si>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</si>
  <si>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</si>
  <si>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</si>
  <si>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</si>
  <si>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</si>
  <si>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</si>
  <si>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</si>
  <si>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</si>
  <si>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</si>
  <si>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</si>
  <si>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</si>
  <si>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</si>
  <si>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</si>
  <si>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</si>
  <si>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</si>
  <si>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</si>
  <si>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</si>
  <si>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</si>
  <si>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</si>
  <si>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</si>
  <si>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</si>
  <si>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</si>
  <si>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</si>
  <si>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</si>
  <si>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</si>
  <si>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</si>
  <si>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</si>
  <si>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</si>
  <si>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</si>
  <si>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</si>
  <si>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</si>
  <si>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</si>
  <si>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</si>
  <si>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</si>
  <si>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</si>
  <si>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</si>
  <si>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</si>
  <si>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</si>
  <si>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</si>
  <si>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</si>
  <si>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</si>
  <si>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</si>
  <si>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</si>
  <si>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</si>
  <si>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</si>
  <si>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</si>
  <si>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</si>
  <si>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</si>
  <si>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</si>
  <si>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</si>
  <si>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</si>
  <si>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</si>
  <si>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</si>
  <si>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</si>
  <si>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</si>
  <si>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</si>
  <si>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</si>
  <si>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</si>
  <si>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</si>
  <si>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</si>
  <si>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</si>
  <si>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</si>
  <si>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</si>
  <si>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</si>
  <si>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</si>
  <si>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</si>
  <si>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</si>
  <si>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</si>
  <si>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</si>
  <si>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</si>
  <si>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</si>
  <si>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</si>
  <si>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</si>
  <si>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</si>
  <si>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</si>
  <si>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</si>
  <si>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</si>
  <si>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</si>
  <si>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</si>
  <si>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</si>
  <si>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</si>
  <si>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</si>
  <si>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</si>
  <si>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</si>
  <si>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</si>
  <si>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</si>
  <si>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</si>
  <si>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</si>
  <si>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</si>
  <si>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</si>
  <si>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</si>
  <si>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</si>
  <si>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</si>
  <si>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</si>
  <si>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</si>
  <si>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</si>
  <si>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</si>
  <si>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</si>
  <si>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</si>
  <si>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</si>
  <si>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</si>
  <si>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</si>
  <si>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</si>
  <si>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</si>
  <si>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</si>
  <si>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</si>
  <si>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</si>
  <si>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</si>
  <si>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</si>
  <si>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</si>
  <si>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</si>
  <si>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</si>
  <si>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</si>
  <si>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</si>
  <si>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</si>
  <si>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</si>
  <si>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</si>
  <si>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</si>
  <si>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</si>
  <si>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</si>
  <si>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</si>
  <si>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</si>
  <si>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</si>
  <si>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</si>
  <si>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</si>
  <si>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</si>
  <si>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</si>
  <si>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</si>
  <si>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</si>
  <si>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</si>
  <si>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</si>
  <si>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</si>
  <si>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</si>
  <si>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</si>
  <si>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</si>
  <si>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</si>
  <si>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</si>
  <si>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</si>
  <si>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</si>
  <si>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</si>
  <si>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</si>
  <si>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</si>
  <si>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</si>
  <si>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</si>
  <si>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</si>
  <si>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</si>
  <si>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</si>
  <si>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</si>
  <si>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</si>
  <si>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</si>
  <si>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</si>
  <si>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</si>
  <si>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</si>
  <si>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</si>
  <si>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</si>
  <si>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</si>
  <si>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</si>
  <si>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</si>
  <si>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</si>
  <si>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</si>
  <si>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</si>
  <si>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</si>
  <si>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</si>
  <si>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</si>
  <si>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</si>
  <si>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</si>
  <si>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</si>
  <si>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</si>
  <si>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</si>
  <si>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</si>
  <si>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</si>
  <si>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</si>
  <si>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</si>
  <si>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</si>
  <si>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</si>
  <si>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</si>
  <si>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</si>
  <si>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</si>
  <si>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</si>
  <si>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</si>
  <si>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</si>
  <si>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</si>
  <si>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</si>
  <si>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</si>
  <si>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</si>
  <si>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</si>
  <si>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</si>
  <si>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</si>
  <si>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</si>
  <si>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</si>
  <si>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</si>
  <si>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</si>
  <si>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</si>
  <si>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</si>
  <si>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</si>
  <si>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</si>
  <si>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</si>
  <si>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</si>
  <si>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</si>
  <si>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</si>
  <si>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</si>
  <si>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</si>
  <si>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</si>
  <si>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</si>
  <si>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</si>
  <si>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</si>
  <si>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</si>
  <si>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</si>
  <si>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</si>
  <si>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</si>
  <si>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</si>
  <si>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</si>
  <si>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</si>
  <si>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</si>
  <si>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</si>
  <si>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</si>
  <si>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</si>
  <si>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</si>
  <si>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</si>
  <si>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</si>
  <si>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</si>
  <si>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</si>
  <si>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</si>
  <si>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</si>
  <si>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</si>
  <si>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</si>
  <si>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</si>
  <si>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</si>
  <si>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</si>
  <si>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</si>
  <si>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</si>
  <si>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</si>
  <si>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</si>
  <si>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</si>
  <si>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</si>
  <si>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</si>
  <si>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</si>
  <si>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</si>
  <si>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</si>
  <si>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</si>
  <si>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</si>
  <si>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</si>
  <si>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</si>
  <si>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</si>
  <si>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</si>
  <si>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</si>
  <si>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</si>
  <si>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</si>
  <si>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</si>
  <si>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</si>
  <si>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</si>
  <si>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</si>
  <si>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</si>
  <si>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</si>
  <si>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</si>
  <si>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</si>
  <si>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</si>
  <si>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</si>
  <si>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</si>
  <si>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</si>
  <si>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</si>
  <si>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</si>
  <si>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</si>
  <si>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</si>
  <si>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</si>
  <si>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</si>
  <si>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</si>
  <si>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</si>
  <si>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</si>
  <si>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</si>
  <si>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</si>
  <si>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</si>
  <si>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</si>
  <si>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</si>
  <si>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</si>
  <si>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</si>
  <si>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</si>
  <si>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</si>
  <si>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</si>
  <si>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</si>
  <si>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</si>
  <si>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</si>
  <si>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</si>
  <si>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</si>
  <si>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</si>
  <si>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</si>
  <si>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</si>
  <si>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</si>
  <si>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</si>
  <si>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</si>
  <si>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</si>
  <si>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</si>
  <si>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</si>
  <si>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</si>
  <si>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</si>
  <si>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</si>
  <si>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</si>
  <si>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</si>
  <si>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</si>
  <si>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</si>
  <si>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</si>
  <si>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</si>
  <si>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</si>
  <si>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</si>
  <si>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</si>
  <si>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</si>
  <si>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</si>
  <si>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</si>
  <si>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</si>
  <si>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</si>
  <si>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</si>
  <si>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</si>
  <si>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</si>
  <si>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</si>
  <si>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</si>
  <si>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</si>
  <si>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</si>
  <si>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</si>
  <si>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</si>
  <si>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</si>
  <si>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</si>
  <si>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</si>
  <si>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</si>
  <si>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</si>
  <si>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</si>
  <si>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</si>
  <si>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</si>
  <si>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</si>
  <si>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</si>
  <si>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</si>
  <si>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</si>
  <si>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</si>
  <si>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</si>
  <si>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</si>
  <si>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</si>
  <si>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</si>
  <si>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</si>
  <si>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</si>
  <si>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</si>
  <si>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</si>
  <si>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</si>
  <si>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</si>
  <si>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</si>
  <si>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</si>
  <si>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</si>
  <si>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</si>
  <si>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</si>
  <si>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</si>
  <si>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</si>
  <si>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</si>
  <si>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</si>
  <si>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</si>
  <si>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</si>
  <si>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</si>
  <si>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</si>
  <si>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</si>
  <si>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</si>
  <si>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</si>
  <si>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</si>
  <si>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</si>
  <si>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</si>
  <si>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</si>
  <si>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</si>
  <si>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</si>
  <si>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</si>
  <si>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</si>
  <si>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</si>
  <si>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</si>
  <si>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</si>
  <si>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</si>
  <si>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</si>
  <si>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</si>
  <si>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</si>
  <si>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</si>
  <si>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</si>
  <si>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</si>
  <si>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</si>
  <si>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</si>
  <si>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</si>
  <si>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</si>
  <si>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</si>
  <si>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</si>
  <si>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</si>
  <si>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</si>
  <si>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</si>
  <si>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</si>
  <si>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</si>
  <si>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</si>
  <si>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</si>
  <si>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</si>
  <si>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</si>
  <si>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</si>
  <si>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</si>
  <si>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</si>
  <si>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</si>
  <si>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</si>
  <si>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</si>
  <si>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</si>
  <si>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</si>
  <si>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</si>
  <si>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</si>
  <si>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</si>
  <si>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</si>
  <si>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</si>
  <si>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</si>
  <si>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</si>
  <si>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</si>
  <si>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</si>
  <si>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</si>
  <si>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</si>
  <si>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</si>
  <si>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</si>
  <si>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</si>
  <si>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</si>
  <si>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</si>
  <si>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</si>
  <si>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</si>
  <si>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</si>
  <si>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</si>
  <si>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</si>
  <si>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</si>
  <si>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</si>
  <si>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</si>
  <si>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</si>
  <si>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</si>
  <si>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</si>
  <si>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</si>
  <si>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</si>
  <si>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</si>
  <si>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</si>
  <si>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</si>
  <si>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</si>
  <si>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</si>
  <si>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</si>
  <si>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</si>
  <si>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</si>
  <si>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</si>
  <si>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</si>
  <si>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</si>
  <si>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</si>
  <si>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</si>
  <si>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</si>
  <si>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</si>
  <si>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</si>
  <si>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</si>
  <si>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</si>
  <si>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</si>
  <si>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</si>
  <si>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</si>
  <si>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</si>
  <si>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</si>
  <si>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</si>
  <si>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</si>
  <si>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</si>
  <si>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</si>
  <si>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</si>
  <si>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</si>
  <si>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</si>
  <si>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</si>
  <si>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</si>
  <si>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</si>
  <si>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</si>
  <si>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</si>
  <si>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</si>
  <si>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</si>
  <si>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</si>
  <si>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</si>
  <si>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</si>
  <si>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</si>
  <si>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</si>
  <si>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</si>
  <si>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</si>
  <si>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</si>
  <si>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</si>
  <si>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</si>
  <si>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</si>
  <si>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</si>
  <si>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</si>
  <si>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</si>
  <si>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</si>
  <si>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</si>
  <si>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</si>
  <si>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</si>
  <si>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</si>
  <si>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</si>
  <si>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</si>
  <si>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</si>
  <si>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</si>
  <si>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</si>
  <si>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</si>
  <si>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</si>
  <si>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</si>
  <si>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</si>
  <si>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</si>
  <si>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</si>
  <si>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</si>
  <si>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</si>
  <si>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</si>
  <si>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</si>
  <si>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</si>
  <si>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</si>
  <si>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</si>
  <si>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</si>
  <si>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</si>
  <si>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</si>
  <si>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</si>
  <si>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</si>
  <si>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</si>
  <si>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</si>
  <si>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</si>
  <si>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</si>
  <si>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</si>
  <si>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</si>
  <si>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</si>
  <si>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</si>
  <si>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</si>
  <si>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</si>
  <si>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</si>
  <si>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</si>
  <si>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</si>
  <si>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</si>
  <si>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</si>
  <si>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</si>
  <si>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</si>
  <si>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</si>
  <si>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</si>
  <si>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</si>
  <si>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</si>
  <si>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</si>
  <si>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</si>
  <si>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</si>
  <si>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</si>
  <si>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</si>
  <si>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</si>
  <si>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</si>
  <si>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</si>
  <si>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</si>
  <si>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</si>
  <si>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</si>
  <si>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</si>
  <si>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</si>
  <si>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</si>
  <si>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</si>
  <si>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</si>
  <si>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</si>
  <si>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</si>
  <si>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</si>
  <si>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</si>
  <si>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</si>
  <si>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</si>
  <si>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</si>
  <si>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</si>
  <si>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</si>
  <si>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</si>
  <si>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</si>
  <si>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</si>
  <si>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</si>
  <si>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</si>
  <si>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</si>
  <si>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</si>
  <si>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</si>
  <si>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</si>
  <si>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</si>
  <si>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</si>
  <si>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</si>
  <si>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</si>
  <si>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</si>
  <si>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</si>
  <si>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</si>
  <si>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</si>
  <si>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</si>
  <si>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</si>
  <si>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</si>
  <si>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</si>
  <si>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</si>
  <si>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</si>
  <si>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</si>
  <si>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</si>
  <si>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</si>
  <si>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</si>
  <si>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</si>
  <si>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</si>
  <si>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</si>
  <si>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</si>
  <si>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</si>
  <si>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</si>
  <si>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</si>
  <si>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</si>
  <si>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</si>
  <si>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</si>
  <si>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</si>
  <si>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</si>
  <si>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</si>
  <si>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</si>
  <si>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</si>
  <si>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</si>
  <si>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</si>
  <si>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</si>
  <si>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</si>
  <si>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</si>
  <si>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</si>
  <si>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</si>
  <si>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</si>
  <si>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</si>
  <si>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</si>
  <si>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</si>
  <si>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</si>
  <si>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</si>
  <si>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</si>
  <si>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</si>
  <si>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</si>
  <si>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</si>
  <si>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</si>
  <si>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</si>
  <si>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</si>
  <si>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</si>
  <si>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</si>
  <si>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</si>
  <si>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</si>
  <si>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</si>
  <si>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</si>
  <si>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</si>
  <si>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</si>
  <si>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</si>
  <si>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</si>
  <si>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</si>
  <si>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</si>
  <si>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</si>
  <si>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</si>
  <si>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</si>
  <si>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</si>
  <si>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</si>
  <si>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</si>
  <si>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</si>
  <si>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</si>
  <si>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</si>
  <si>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</si>
  <si>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</si>
  <si>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</si>
  <si>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</si>
  <si>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</si>
  <si>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</si>
  <si>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</si>
  <si>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</si>
  <si>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</si>
  <si>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</si>
  <si>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</si>
  <si>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</si>
  <si>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</si>
  <si>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</si>
  <si>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</si>
  <si>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</si>
  <si>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</si>
  <si>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</si>
  <si>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</si>
  <si>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</si>
  <si>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</si>
  <si>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</si>
  <si>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</si>
  <si>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</si>
  <si>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</si>
  <si>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</si>
  <si>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</si>
  <si>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</si>
  <si>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</si>
  <si>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</si>
  <si>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</si>
  <si>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</si>
  <si>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</si>
  <si>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</si>
  <si>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</si>
  <si>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</si>
  <si>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</si>
  <si>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</si>
  <si>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</si>
  <si>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</si>
  <si>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</si>
  <si>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</si>
  <si>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</si>
  <si>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</si>
  <si>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</si>
  <si>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</si>
  <si>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</si>
  <si>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</si>
  <si>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</si>
  <si>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</si>
  <si>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</si>
  <si>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</si>
  <si>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</si>
  <si>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</si>
  <si>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</si>
  <si>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</si>
  <si>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</si>
  <si>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</si>
  <si>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</si>
  <si>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</si>
  <si>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</si>
  <si>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</si>
  <si>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</si>
  <si>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</si>
  <si>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</si>
  <si>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</si>
  <si>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</si>
  <si>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</si>
  <si>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</si>
  <si>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</si>
  <si>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</si>
  <si>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</si>
  <si>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</si>
  <si>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</si>
  <si>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</si>
  <si>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</si>
  <si>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</si>
  <si>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</si>
  <si>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</si>
  <si>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</si>
  <si>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</si>
  <si>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</si>
  <si>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</si>
  <si>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</si>
  <si>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</si>
  <si>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</si>
  <si>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</si>
  <si>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</si>
  <si>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</si>
  <si>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</si>
  <si>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</si>
  <si>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</si>
  <si>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</si>
  <si>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</si>
  <si>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</si>
  <si>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</si>
  <si>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</si>
  <si>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</si>
  <si>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</si>
  <si>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</si>
  <si>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</si>
  <si>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</si>
  <si>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</si>
  <si>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</si>
  <si>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</si>
  <si>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</si>
  <si>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</si>
  <si>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</si>
  <si>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</si>
  <si>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</si>
  <si>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</si>
  <si>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</si>
  <si>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</si>
  <si>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</si>
  <si>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</si>
  <si>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</si>
  <si>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</si>
  <si>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</si>
  <si>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</si>
  <si>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</si>
  <si>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</si>
  <si>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</si>
  <si>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</si>
  <si>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</si>
  <si>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</si>
  <si>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</si>
  <si>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</si>
  <si>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</si>
  <si>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</si>
  <si>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</si>
  <si>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</si>
  <si>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</si>
  <si>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</si>
  <si>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</si>
  <si>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</si>
  <si>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</si>
  <si>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</si>
  <si>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</si>
  <si>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</si>
  <si>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</si>
  <si>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</si>
  <si>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</si>
  <si>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</si>
  <si>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</si>
  <si>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</si>
  <si>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</si>
  <si>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</si>
  <si>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</si>
  <si>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</si>
  <si>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</si>
  <si>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</si>
  <si>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</si>
  <si>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</si>
  <si>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</si>
  <si>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</si>
  <si>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</si>
  <si>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</si>
  <si>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</si>
  <si>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</si>
  <si>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</si>
  <si>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</si>
  <si>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</si>
  <si>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</si>
  <si>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</si>
  <si>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</si>
  <si>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</si>
  <si>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</si>
  <si>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</si>
  <si>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</si>
  <si>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</si>
  <si>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</si>
  <si>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</si>
  <si>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</si>
  <si>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</si>
  <si>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</si>
  <si>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</si>
  <si>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</si>
  <si>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</si>
  <si>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</si>
  <si>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</si>
  <si>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</si>
  <si>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</si>
  <si>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</si>
  <si>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</si>
  <si>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</si>
  <si>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</si>
  <si>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</si>
  <si>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</si>
  <si>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</si>
  <si>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</si>
  <si>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</si>
  <si>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</si>
  <si>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</si>
  <si>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</si>
  <si>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</si>
  <si>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</si>
  <si>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</si>
  <si>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</si>
  <si>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</si>
  <si>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</si>
  <si>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</si>
  <si>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</si>
  <si>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</si>
  <si>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</si>
  <si>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</si>
  <si>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</si>
  <si>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</si>
  <si>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</si>
  <si>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</si>
  <si>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</si>
  <si>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</si>
  <si>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</si>
  <si>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</si>
  <si>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</si>
  <si>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</si>
  <si>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</si>
  <si>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</si>
  <si>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</si>
  <si>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</si>
  <si>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</si>
  <si>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</si>
  <si>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</si>
  <si>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</si>
  <si>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</si>
  <si>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</si>
  <si>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</si>
  <si>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</si>
  <si>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</si>
  <si>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</si>
  <si>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</si>
  <si>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</si>
  <si>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</si>
  <si>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</si>
  <si>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</si>
  <si>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</si>
  <si>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</si>
  <si>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</si>
  <si>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</si>
  <si>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</si>
  <si>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</si>
  <si>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</si>
  <si>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</si>
  <si>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</si>
  <si>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</si>
  <si>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</si>
  <si>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</si>
  <si>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</si>
  <si>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</si>
  <si>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</si>
  <si>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</si>
  <si>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</si>
  <si>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</si>
  <si>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</si>
  <si>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</si>
  <si>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</si>
  <si>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</si>
  <si>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</si>
  <si>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</si>
  <si>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</si>
  <si>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</si>
  <si>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</si>
  <si>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</si>
  <si>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</si>
  <si>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</si>
  <si>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</si>
  <si>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</si>
  <si>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</si>
  <si>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</si>
  <si>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</si>
  <si>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</si>
  <si>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</si>
  <si>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</si>
  <si>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</si>
  <si>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</si>
  <si>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</si>
  <si>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</si>
  <si>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</si>
  <si>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</si>
  <si>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</si>
  <si>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</si>
  <si>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</si>
  <si>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</si>
  <si>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</si>
  <si>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</si>
  <si>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</si>
  <si>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</si>
  <si>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</si>
  <si>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</si>
  <si>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</si>
  <si>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</si>
  <si>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</si>
  <si>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</si>
  <si>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</si>
  <si>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</si>
  <si>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</si>
  <si>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</si>
  <si>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</si>
  <si>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</si>
  <si>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</si>
  <si>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</si>
  <si>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</si>
  <si>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</si>
  <si>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</si>
  <si>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</si>
  <si>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</si>
  <si>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</si>
  <si>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</si>
  <si>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</si>
  <si>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</si>
  <si>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</si>
  <si>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</si>
  <si>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</si>
  <si>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</si>
  <si>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</si>
  <si>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</si>
  <si>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</si>
  <si>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</si>
  <si>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</si>
  <si>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</si>
  <si>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</si>
  <si>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</si>
  <si>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</si>
  <si>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</si>
  <si>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</si>
  <si>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</si>
  <si>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</si>
  <si>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</si>
  <si>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</si>
  <si>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</si>
  <si>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</si>
  <si>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</si>
  <si>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</si>
  <si>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</si>
  <si>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</si>
  <si>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</si>
  <si>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</si>
  <si>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</si>
  <si>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</si>
  <si>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</si>
  <si>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</si>
  <si>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</si>
  <si>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</si>
  <si>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</si>
  <si>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</si>
  <si>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</si>
  <si>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</si>
  <si>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</si>
  <si>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</si>
  <si>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</si>
  <si>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</si>
  <si>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</si>
  <si>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</si>
  <si>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</si>
  <si>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</si>
  <si>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</si>
  <si>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</si>
  <si>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</si>
  <si>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</si>
  <si>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</si>
  <si>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</si>
  <si>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</si>
  <si>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</si>
  <si>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</si>
  <si>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</si>
  <si>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</si>
  <si>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</si>
  <si>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</si>
  <si>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</si>
  <si>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</si>
  <si>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</si>
  <si>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</si>
  <si>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</si>
  <si>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</si>
  <si>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</si>
  <si>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</si>
  <si>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</si>
  <si>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</si>
  <si>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</si>
  <si>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</si>
  <si>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</si>
  <si>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</si>
  <si>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</si>
  <si>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</si>
  <si>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</si>
  <si>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</si>
  <si>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</si>
  <si>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</si>
  <si>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</si>
  <si>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</si>
  <si>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</si>
  <si>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</si>
  <si>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</si>
  <si>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</si>
  <si>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</si>
  <si>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</si>
  <si>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</si>
  <si>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</si>
  <si>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</si>
  <si>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</si>
  <si>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</si>
  <si>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</si>
  <si>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</si>
  <si>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</si>
  <si>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</si>
  <si>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</si>
  <si>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</si>
  <si>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</si>
  <si>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</si>
  <si>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</si>
  <si>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</si>
  <si>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</si>
  <si>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</si>
  <si>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</si>
  <si>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</si>
  <si>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</si>
  <si>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</si>
  <si>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</si>
  <si>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</si>
  <si>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</si>
  <si>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</si>
  <si>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</si>
  <si>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</si>
  <si>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</si>
  <si>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</si>
  <si>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</si>
  <si>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</si>
  <si>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</si>
  <si>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</si>
  <si>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</si>
  <si>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</si>
  <si>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</si>
  <si>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</si>
  <si>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</si>
  <si>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</si>
  <si>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</si>
  <si>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</si>
  <si>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</si>
  <si>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</si>
  <si>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</si>
  <si>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</si>
  <si>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</si>
  <si>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</si>
  <si>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</si>
  <si>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</si>
  <si>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</si>
  <si>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</si>
  <si>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</si>
  <si>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</si>
  <si>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</si>
  <si>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</si>
  <si>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</si>
  <si>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</si>
  <si>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</si>
  <si>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</si>
  <si>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</si>
  <si>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</si>
  <si>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</si>
  <si>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</si>
  <si>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</si>
  <si>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</si>
  <si>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</si>
  <si>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</si>
  <si>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</si>
  <si>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</si>
  <si>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</si>
  <si>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</si>
  <si>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</si>
  <si>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</si>
  <si>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</si>
  <si>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</si>
  <si>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</si>
  <si>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</si>
  <si>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</si>
  <si>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</si>
  <si>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</si>
  <si>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</si>
  <si>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</si>
  <si>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</si>
  <si>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</si>
  <si>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</si>
  <si>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</si>
  <si>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</si>
  <si>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</si>
  <si>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</si>
  <si>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</si>
  <si>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</si>
  <si>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</si>
  <si>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</si>
  <si>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</si>
  <si>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</si>
  <si>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</si>
  <si>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</si>
  <si>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</si>
  <si>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</si>
  <si>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</si>
  <si>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</si>
  <si>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</si>
  <si>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</si>
  <si>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</si>
  <si>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</si>
  <si>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</si>
  <si>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</si>
  <si>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</si>
  <si>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</si>
  <si>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</si>
  <si>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</si>
  <si>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</si>
  <si>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</si>
  <si>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</si>
  <si>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</si>
  <si>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</si>
  <si>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</si>
  <si>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</si>
  <si>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</si>
  <si>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</si>
  <si>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</si>
  <si>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</si>
  <si>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</si>
  <si>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</si>
  <si>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</si>
  <si>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</si>
  <si>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</si>
  <si>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</si>
  <si>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</si>
  <si>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</si>
  <si>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</si>
  <si>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</si>
  <si>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</si>
  <si>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</si>
  <si>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</si>
  <si>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</si>
  <si>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</si>
  <si>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</si>
  <si>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</si>
  <si>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</si>
  <si>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</si>
  <si>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</si>
  <si>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</si>
  <si>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</si>
  <si>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</si>
  <si>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</si>
  <si>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</si>
  <si>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</si>
  <si>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</si>
  <si>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</si>
  <si>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</si>
  <si>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</si>
  <si>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</si>
  <si>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</si>
  <si>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</si>
  <si>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</si>
  <si>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</si>
  <si>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</si>
  <si>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</si>
  <si>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</si>
  <si>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</si>
  <si>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</si>
  <si>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</si>
  <si>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</si>
  <si>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</si>
  <si>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</si>
  <si>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</si>
  <si>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</si>
  <si>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</si>
  <si>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</si>
  <si>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</si>
  <si>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</si>
  <si>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</si>
  <si>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</si>
  <si>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</si>
  <si>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</si>
  <si>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</si>
  <si>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</si>
  <si>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</si>
  <si>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</si>
  <si>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</si>
  <si>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</si>
  <si>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</si>
  <si>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</si>
  <si>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</si>
  <si>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</si>
  <si>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</si>
  <si>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</si>
  <si>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</si>
  <si>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</si>
  <si>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</si>
  <si>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</si>
  <si>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</si>
  <si>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</si>
  <si>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</si>
  <si>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</si>
  <si>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</si>
  <si>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</si>
  <si>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</si>
  <si>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</si>
  <si>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</si>
  <si>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</si>
  <si>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</si>
  <si>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</si>
  <si>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</si>
  <si>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</si>
  <si>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</si>
  <si>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</si>
  <si>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</si>
  <si>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</si>
  <si>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</si>
  <si>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</si>
  <si>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</si>
  <si>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</si>
  <si>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</si>
  <si>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</si>
  <si>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</si>
  <si>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</si>
  <si>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</si>
  <si>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</si>
  <si>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</si>
  <si>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</si>
  <si>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</si>
  <si>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</si>
  <si>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</si>
  <si>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</si>
  <si>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</si>
  <si>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</si>
  <si>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</si>
  <si>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</si>
  <si>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</si>
  <si>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</si>
  <si>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</si>
  <si>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</si>
  <si>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</si>
  <si>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</si>
  <si>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</si>
  <si>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</si>
  <si>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</si>
  <si>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</si>
  <si>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</si>
  <si>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</si>
  <si>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</si>
  <si>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</si>
  <si>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</si>
  <si>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</si>
  <si>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</si>
  <si>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</si>
  <si>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</si>
  <si>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</si>
  <si>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</si>
  <si>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</si>
  <si>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</si>
  <si>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</si>
  <si>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</si>
  <si>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</si>
  <si>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</si>
  <si>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</si>
  <si>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</si>
  <si>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</si>
  <si>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</si>
  <si>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</si>
  <si>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</si>
  <si>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</si>
  <si>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</si>
  <si>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</si>
  <si>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</si>
  <si>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</si>
  <si>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</si>
  <si>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</si>
  <si>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</si>
  <si>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</si>
  <si>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</si>
  <si>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</si>
  <si>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</si>
  <si>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</si>
  <si>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</si>
  <si>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</si>
  <si>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</si>
  <si>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</si>
  <si>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</si>
  <si>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</si>
  <si>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</si>
  <si>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</si>
  <si>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</si>
  <si>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</si>
  <si>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</si>
  <si>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</si>
  <si>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</si>
  <si>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</si>
  <si>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</si>
  <si>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</si>
  <si>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</si>
  <si>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</si>
  <si>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</si>
  <si>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</si>
  <si>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</si>
  <si>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</si>
  <si>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</si>
  <si>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</si>
  <si>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</si>
  <si>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</si>
  <si>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</si>
  <si>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</si>
  <si>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</si>
  <si>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</si>
  <si>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</si>
  <si>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</si>
  <si>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</si>
  <si>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</si>
  <si>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</si>
  <si>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</si>
  <si>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</si>
  <si>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</si>
  <si>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</si>
  <si>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</si>
  <si>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</si>
  <si>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</si>
  <si>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</si>
  <si>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</si>
  <si>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</si>
  <si>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</si>
  <si>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</si>
  <si>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</si>
  <si>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</si>
  <si>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</si>
  <si>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</si>
  <si>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</si>
  <si>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</si>
  <si>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</si>
  <si>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</si>
  <si>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</si>
  <si>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</si>
  <si>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</si>
  <si>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</si>
  <si>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</si>
  <si>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</si>
  <si>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</si>
  <si>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</si>
  <si>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</si>
  <si>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</si>
  <si>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</si>
  <si>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</si>
  <si>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</si>
  <si>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</si>
  <si>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</si>
  <si>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</si>
  <si>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</si>
  <si>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</si>
  <si>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</si>
  <si>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</si>
  <si>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</si>
  <si>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</si>
  <si>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</si>
  <si>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</si>
  <si>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</si>
  <si>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</si>
  <si>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</si>
  <si>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</si>
  <si>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</si>
  <si>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</si>
  <si>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</si>
  <si>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</si>
  <si>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</si>
  <si>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</si>
  <si>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</si>
  <si>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</si>
  <si>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</si>
  <si>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</si>
  <si>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</si>
  <si>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</si>
  <si>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</si>
  <si>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</si>
  <si>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</si>
  <si>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</si>
  <si>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</si>
  <si>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</si>
  <si>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</si>
  <si>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</si>
  <si>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</si>
  <si>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</si>
  <si>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</si>
  <si>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</si>
  <si>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</si>
  <si>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</si>
  <si>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</si>
  <si>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</si>
  <si>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</si>
  <si>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</si>
  <si>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</si>
  <si>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</si>
  <si>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</si>
  <si>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</si>
  <si>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</si>
  <si>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</si>
  <si>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</si>
  <si>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</si>
  <si>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</si>
  <si>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</si>
  <si>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</si>
  <si>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</si>
  <si>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</si>
  <si>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</si>
  <si>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</si>
  <si>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</si>
  <si>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</si>
  <si>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</si>
  <si>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</si>
  <si>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</si>
  <si>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</si>
  <si>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</si>
  <si>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</si>
  <si>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</si>
  <si>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</si>
  <si>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</si>
  <si>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</si>
  <si>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</si>
  <si>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</si>
  <si>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</si>
  <si>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</si>
  <si>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</si>
  <si>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</si>
  <si>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</si>
  <si>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</si>
  <si>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</si>
  <si>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</si>
  <si>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</si>
  <si>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</si>
  <si>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</si>
  <si>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</si>
  <si>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</si>
  <si>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</si>
  <si>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</si>
  <si>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</si>
  <si>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</si>
  <si>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</si>
  <si>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</si>
  <si>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</si>
  <si>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</si>
  <si>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</si>
  <si>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</si>
  <si>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</si>
  <si>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</si>
  <si>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</si>
  <si>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</si>
  <si>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</si>
  <si>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</si>
  <si>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</si>
  <si>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</si>
  <si>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</si>
  <si>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</si>
  <si>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</si>
  <si>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</si>
  <si>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</si>
  <si>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</si>
  <si>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</si>
  <si>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</si>
  <si>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</si>
  <si>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</si>
  <si>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</si>
  <si>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</si>
  <si>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</si>
  <si>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</si>
  <si>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</si>
  <si>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</si>
  <si>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</si>
  <si>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</si>
  <si>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</si>
  <si>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</si>
  <si>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</si>
  <si>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</si>
  <si>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</si>
  <si>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</si>
  <si>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</si>
  <si>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</si>
  <si>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</si>
  <si>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</si>
  <si>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</si>
  <si>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</si>
  <si>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</si>
  <si>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</si>
  <si>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</si>
  <si>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</si>
  <si>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</si>
  <si>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</si>
  <si>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</si>
  <si>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</si>
  <si>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</si>
  <si>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</si>
  <si>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</si>
  <si>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</si>
  <si>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</si>
  <si>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</si>
  <si>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</si>
  <si>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</si>
  <si>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</si>
  <si>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</si>
  <si>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</si>
  <si>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</si>
  <si>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</si>
  <si>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</si>
  <si>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</si>
  <si>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</si>
  <si>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</si>
  <si>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</si>
  <si>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</si>
  <si>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</si>
  <si>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</si>
  <si>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</si>
  <si>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</si>
  <si>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</si>
  <si>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</si>
  <si>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</si>
  <si>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</si>
  <si>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</si>
  <si>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</si>
  <si>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</si>
  <si>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</si>
  <si>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</si>
  <si>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</si>
  <si>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</si>
  <si>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</si>
  <si>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</si>
  <si>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</si>
  <si>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</si>
  <si>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</si>
  <si>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</si>
  <si>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</si>
  <si>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</si>
  <si>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</si>
  <si>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</si>
  <si>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</si>
  <si>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</si>
  <si>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</si>
  <si>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</si>
  <si>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</si>
  <si>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</si>
  <si>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</si>
  <si>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</si>
  <si>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</si>
  <si>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</si>
  <si>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</si>
  <si>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</si>
  <si>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</si>
  <si>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</si>
  <si>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</si>
  <si>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</si>
  <si>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</si>
  <si>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</si>
  <si>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</si>
  <si>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</si>
  <si>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</si>
  <si>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</si>
  <si>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</si>
  <si>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</si>
  <si>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</si>
  <si>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</si>
  <si>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</si>
  <si>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</si>
  <si>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</si>
  <si>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</si>
  <si>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</si>
  <si>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</si>
  <si>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</si>
  <si>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</si>
  <si>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</si>
  <si>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</si>
  <si>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</si>
  <si>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</si>
  <si>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</si>
  <si>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</si>
  <si>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</si>
  <si>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</si>
  <si>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</si>
  <si>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</si>
  <si>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</si>
  <si>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</si>
  <si>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</si>
  <si>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</si>
  <si>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</si>
  <si>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</si>
  <si>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</si>
  <si>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</si>
  <si>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</si>
  <si>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</si>
  <si>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</si>
  <si>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</si>
  <si>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</si>
  <si>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</si>
  <si>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</si>
  <si>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</si>
  <si>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</si>
  <si>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</si>
  <si>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</si>
  <si>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</si>
  <si>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</si>
  <si>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</si>
  <si>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</si>
  <si>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</si>
  <si>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</si>
  <si>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</si>
  <si>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</si>
  <si>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</si>
  <si>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</si>
  <si>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</si>
  <si>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</si>
  <si>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</si>
  <si>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</si>
  <si>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</si>
  <si>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</si>
  <si>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</si>
  <si>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</si>
  <si>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</si>
  <si>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</si>
  <si>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</si>
  <si>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</si>
  <si>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</si>
  <si>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</si>
  <si>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</si>
  <si>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</si>
  <si>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</si>
  <si>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</si>
  <si>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</si>
  <si>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</si>
  <si>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</si>
  <si>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</si>
  <si>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</si>
  <si>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</si>
  <si>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</si>
  <si>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</si>
  <si>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</si>
  <si>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</si>
  <si>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</si>
  <si>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</si>
  <si>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</si>
  <si>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</si>
  <si>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</si>
  <si>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</si>
  <si>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</si>
  <si>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</si>
  <si>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</si>
  <si>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</si>
  <si>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</si>
  <si>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</si>
  <si>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</si>
  <si>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</si>
  <si>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</si>
  <si>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</si>
  <si>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</si>
  <si>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</si>
  <si>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</si>
  <si>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</si>
  <si>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</si>
  <si>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</si>
  <si>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</si>
  <si>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</si>
  <si>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</si>
  <si>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</si>
  <si>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</si>
  <si>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</si>
  <si>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</si>
  <si>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</si>
  <si>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</si>
  <si>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</si>
  <si>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</si>
  <si>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</si>
  <si>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</si>
  <si>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</si>
  <si>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</si>
  <si>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</si>
  <si>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</si>
  <si>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</si>
  <si>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</si>
  <si>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</si>
  <si>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</si>
  <si>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</si>
  <si>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</si>
  <si>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</si>
  <si>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</si>
  <si>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</si>
  <si>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</si>
  <si>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</si>
  <si>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</si>
  <si>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</si>
  <si>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</si>
  <si>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</si>
  <si>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</si>
  <si>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</si>
  <si>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</si>
  <si>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</si>
  <si>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</si>
  <si>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</si>
  <si>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</si>
  <si>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</si>
  <si>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</si>
  <si>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</si>
  <si>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</si>
  <si>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</si>
  <si>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</si>
  <si>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</si>
  <si>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</si>
  <si>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</si>
  <si>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</si>
  <si>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</si>
  <si>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</si>
  <si>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</si>
  <si>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</si>
  <si>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</si>
  <si>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</si>
  <si>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</si>
  <si>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</si>
  <si>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</si>
  <si>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</si>
  <si>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</si>
  <si>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</si>
  <si>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</si>
  <si>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</si>
  <si>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</si>
  <si>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</si>
  <si>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</si>
  <si>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</si>
  <si>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</si>
  <si>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</si>
  <si>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</si>
  <si>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</si>
  <si>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</si>
  <si>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</si>
  <si>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</si>
  <si>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</si>
  <si>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</si>
  <si>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</si>
  <si>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</si>
  <si>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</si>
  <si>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</si>
  <si>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</si>
  <si>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</si>
  <si>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</si>
  <si>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</si>
  <si>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</si>
  <si>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</si>
  <si>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</si>
  <si>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</si>
  <si>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</si>
  <si>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</si>
  <si>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</si>
  <si>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</si>
  <si>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</si>
  <si>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</si>
  <si>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</si>
  <si>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</si>
  <si>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</si>
  <si>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</si>
  <si>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</si>
  <si>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</si>
  <si>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</si>
  <si>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</si>
  <si>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</si>
  <si>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</si>
  <si>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</si>
  <si>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</si>
  <si>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</si>
  <si>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</si>
  <si>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</si>
  <si>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</si>
  <si>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</si>
  <si>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</si>
  <si>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</si>
  <si>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</si>
  <si>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</si>
  <si>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</si>
  <si>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</si>
  <si>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</si>
  <si>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</si>
  <si>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</si>
  <si>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</si>
  <si>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</si>
  <si>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</si>
  <si>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</si>
  <si>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</si>
  <si>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</si>
  <si>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</si>
  <si>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</si>
  <si>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</si>
  <si>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</si>
  <si>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</si>
  <si>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</si>
  <si>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</si>
  <si>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</si>
  <si>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</si>
  <si>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</si>
  <si>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</si>
  <si>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</si>
  <si>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</si>
  <si>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</si>
  <si>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</si>
  <si>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</si>
  <si>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</si>
  <si>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</si>
  <si>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</si>
  <si>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</si>
  <si>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</si>
  <si>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</si>
  <si>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</si>
  <si>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</si>
  <si>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</si>
  <si>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</si>
  <si>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</si>
  <si>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</si>
  <si>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</si>
  <si>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</si>
  <si>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</si>
  <si>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</si>
  <si>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</si>
  <si>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</si>
  <si>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</si>
  <si>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</si>
  <si>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</si>
  <si>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</si>
  <si>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</si>
  <si>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</si>
  <si>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</si>
  <si>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</si>
  <si>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</si>
  <si>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</si>
  <si>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</si>
  <si>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</si>
  <si>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</si>
  <si>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</si>
  <si>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</si>
  <si>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</si>
  <si>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</si>
  <si>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</si>
  <si>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</si>
  <si>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</si>
  <si>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</si>
  <si>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</si>
  <si>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</si>
  <si>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</si>
  <si>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</si>
  <si>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</si>
  <si>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</si>
  <si>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</si>
  <si>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</si>
  <si>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</si>
  <si>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</si>
  <si>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</si>
  <si>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</si>
  <si>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</si>
  <si>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</si>
  <si>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</si>
  <si>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</si>
  <si>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</si>
  <si>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</si>
  <si>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</si>
  <si>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</si>
  <si>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</si>
  <si>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</si>
  <si>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</si>
  <si>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</si>
  <si>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</si>
  <si>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</si>
  <si>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</si>
  <si>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</si>
  <si>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</si>
  <si>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</si>
  <si>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</si>
  <si>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</si>
  <si>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</si>
  <si>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</si>
  <si>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</si>
  <si>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</si>
  <si>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</si>
  <si>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</si>
  <si>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</si>
  <si>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</si>
  <si>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</si>
  <si>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</si>
  <si>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</si>
  <si>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</si>
  <si>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</si>
  <si>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</si>
  <si>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</si>
  <si>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</si>
  <si>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</si>
  <si>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</si>
  <si>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</si>
  <si>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</si>
  <si>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</si>
  <si>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</si>
  <si>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</si>
  <si>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</si>
  <si>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</si>
  <si>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</si>
  <si>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</si>
  <si>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</si>
  <si>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</si>
  <si>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</si>
  <si>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</si>
  <si>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</si>
  <si>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</si>
  <si>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</si>
  <si>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</si>
  <si>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</si>
  <si>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</si>
  <si>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</si>
  <si>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</si>
  <si>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</si>
  <si>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</si>
  <si>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</si>
  <si>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</si>
  <si>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</si>
  <si>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</si>
  <si>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</si>
  <si>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</si>
  <si>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</si>
  <si>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</si>
  <si>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</si>
  <si>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</si>
  <si>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</si>
  <si>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</si>
  <si>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</si>
  <si>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</si>
  <si>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</si>
  <si>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</si>
  <si>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</si>
  <si>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</si>
  <si>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</si>
  <si>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</si>
  <si>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</si>
  <si>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</si>
  <si>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</si>
  <si>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</si>
  <si>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</si>
  <si>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</si>
  <si>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</si>
  <si>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</si>
  <si>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</si>
  <si>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</si>
  <si>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</si>
  <si>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</si>
  <si>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</si>
  <si>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</si>
  <si>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</si>
  <si>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</si>
  <si>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</si>
  <si>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</si>
  <si>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</si>
  <si>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</si>
  <si>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</si>
  <si>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</si>
  <si>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</si>
  <si>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</si>
  <si>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</si>
  <si>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</si>
  <si>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</si>
  <si>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</si>
  <si>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</si>
  <si>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</si>
  <si>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</si>
  <si>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</si>
  <si>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</si>
  <si>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</si>
  <si>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</si>
  <si>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</si>
  <si>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</si>
  <si>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</si>
  <si>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</si>
  <si>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</si>
  <si>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</si>
  <si>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</si>
  <si>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</si>
  <si>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</si>
  <si>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</si>
  <si>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</si>
  <si>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</si>
  <si>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</si>
  <si>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</si>
  <si>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</si>
  <si>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</si>
  <si>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</si>
  <si>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</si>
  <si>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</si>
  <si>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</si>
  <si>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</si>
  <si>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</si>
  <si>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</si>
  <si>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</si>
  <si>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</si>
  <si>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</si>
  <si>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</si>
  <si>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</si>
  <si>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</si>
  <si>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</si>
  <si>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</si>
  <si>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</si>
  <si>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</si>
  <si>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</si>
  <si>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</si>
  <si>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</si>
  <si>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</si>
  <si>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</si>
  <si>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</si>
  <si>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</si>
  <si>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</si>
  <si>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</si>
  <si>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</si>
  <si>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</si>
  <si>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</si>
  <si>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</si>
  <si>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</si>
  <si>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</si>
  <si>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</si>
  <si>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</si>
  <si>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</si>
  <si>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</si>
  <si>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</si>
  <si>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</si>
  <si>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</si>
  <si>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</si>
  <si>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</si>
  <si>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</si>
  <si>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</si>
  <si>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</si>
  <si>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</si>
  <si>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</si>
  <si>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</si>
  <si>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</si>
  <si>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</si>
  <si>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</si>
  <si>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</si>
  <si>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</si>
  <si>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</si>
  <si>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</si>
  <si>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</si>
  <si>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</si>
  <si>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</si>
  <si>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</si>
  <si>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</si>
  <si>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</si>
  <si>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</si>
  <si>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</si>
  <si>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</si>
  <si>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</si>
  <si>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</si>
  <si>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</si>
  <si>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</si>
  <si>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</si>
  <si>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</si>
  <si>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</si>
  <si>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</si>
  <si>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</si>
  <si>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</si>
  <si>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</si>
  <si>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</si>
  <si>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</si>
  <si>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</si>
  <si>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</si>
  <si>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</si>
  <si>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</si>
  <si>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</si>
  <si>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</si>
  <si>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</si>
  <si>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</si>
  <si>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</si>
  <si>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</si>
  <si>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</si>
  <si>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</si>
  <si>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</si>
  <si>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</si>
  <si>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</si>
  <si>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</si>
  <si>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</si>
  <si>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</si>
  <si>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</si>
  <si>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</si>
  <si>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</si>
  <si>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</si>
  <si>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</si>
  <si>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</si>
  <si>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</si>
  <si>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</si>
  <si>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</si>
  <si>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</si>
  <si>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</si>
  <si>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</si>
  <si>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</si>
  <si>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</si>
  <si>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</si>
  <si>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</si>
  <si>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</si>
  <si>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</si>
  <si>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</si>
  <si>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</si>
  <si>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</si>
  <si>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</si>
  <si>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</si>
  <si>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</si>
  <si>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</si>
  <si>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</si>
  <si>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</si>
  <si>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</si>
  <si>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</si>
  <si>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</si>
  <si>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</si>
  <si>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</si>
  <si>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</si>
  <si>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</si>
  <si>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</si>
  <si>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</si>
  <si>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</si>
  <si>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</si>
  <si>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</si>
  <si>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</si>
  <si>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</si>
  <si>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</si>
  <si>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</si>
  <si>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</si>
  <si>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</si>
  <si>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</si>
  <si>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</si>
  <si>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</si>
  <si>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</si>
  <si>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</si>
  <si>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</si>
  <si>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</si>
  <si>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</si>
  <si>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</si>
  <si>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</si>
  <si>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</si>
  <si>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</si>
  <si>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</si>
  <si>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</si>
  <si>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</si>
  <si>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</si>
  <si>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</si>
  <si>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</si>
  <si>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</si>
  <si>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</si>
  <si>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</si>
  <si>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</si>
  <si>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</si>
  <si>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</si>
  <si>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</si>
  <si>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</si>
  <si>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</si>
  <si>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</si>
  <si>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</si>
  <si>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</si>
  <si>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</si>
  <si>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</si>
  <si>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</si>
  <si>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</si>
  <si>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</si>
  <si>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</si>
  <si>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</si>
  <si>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</si>
  <si>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</si>
  <si>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</si>
  <si>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</si>
  <si>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</si>
  <si>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</si>
  <si>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</si>
  <si>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</si>
  <si>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</si>
  <si>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</si>
  <si>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</si>
  <si>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</si>
  <si>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</si>
  <si>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</si>
  <si>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</si>
  <si>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</si>
  <si>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</si>
  <si>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</si>
  <si>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</si>
  <si>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</si>
  <si>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</si>
  <si>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</si>
  <si>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</si>
  <si>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</si>
  <si>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</si>
  <si>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</si>
  <si>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</si>
  <si>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</si>
  <si>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</si>
  <si>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</si>
  <si>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</si>
  <si>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</si>
  <si>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</si>
  <si>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</si>
  <si>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</si>
  <si>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</si>
  <si>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</si>
  <si>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</si>
  <si>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</si>
  <si>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</si>
  <si>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</si>
  <si>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</si>
  <si>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</si>
  <si>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</si>
  <si>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</si>
  <si>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</si>
  <si>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</si>
  <si>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</si>
  <si>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</si>
  <si>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</si>
  <si>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</si>
  <si>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</si>
  <si>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</si>
  <si>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</si>
  <si>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</si>
  <si>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</si>
  <si>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</si>
  <si>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</si>
  <si>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</si>
  <si>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</si>
  <si>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</si>
  <si>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</si>
  <si>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</si>
  <si>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</si>
  <si>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</si>
  <si>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</si>
  <si>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</si>
  <si>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</si>
  <si>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</si>
  <si>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</si>
  <si>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</si>
  <si>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</si>
  <si>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</si>
  <si>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</si>
  <si>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</si>
  <si>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</si>
  <si>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</si>
  <si>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</si>
  <si>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</si>
  <si>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</si>
  <si>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</si>
  <si>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</si>
  <si>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</si>
  <si>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</si>
  <si>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</si>
  <si>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</si>
  <si>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</si>
  <si>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</si>
  <si>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</si>
  <si>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</si>
  <si>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</si>
  <si>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</si>
  <si>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</si>
  <si>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</si>
  <si>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</si>
  <si>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</si>
  <si>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</si>
  <si>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</si>
  <si>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</si>
  <si>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</si>
  <si>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</si>
  <si>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</si>
  <si>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</si>
  <si>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</si>
  <si>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</si>
  <si>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</si>
  <si>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</si>
  <si>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</si>
  <si>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</si>
  <si>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</si>
  <si>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</si>
  <si>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</si>
  <si>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</si>
  <si>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</si>
  <si>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</si>
  <si>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</si>
  <si>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</si>
  <si>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</si>
  <si>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</si>
  <si>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</si>
  <si>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</si>
  <si>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</si>
  <si>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</si>
  <si>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</si>
  <si>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</si>
  <si>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</si>
  <si>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</si>
  <si>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</si>
  <si>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</si>
  <si>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</si>
  <si>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</si>
  <si>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</si>
  <si>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</si>
  <si>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</si>
  <si>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</si>
  <si>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</si>
  <si>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</si>
  <si>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</si>
  <si>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</si>
  <si>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</si>
  <si>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</si>
  <si>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</si>
  <si>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</si>
  <si>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</si>
  <si>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</si>
  <si>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</si>
  <si>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</si>
  <si>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</si>
  <si>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</si>
  <si>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</si>
  <si>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</si>
  <si>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</si>
  <si>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</si>
  <si>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</si>
  <si>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</si>
  <si>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</si>
  <si>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</si>
  <si>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</si>
  <si>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</si>
  <si>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</si>
  <si>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</si>
  <si>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</si>
  <si>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</si>
  <si>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</si>
  <si>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</si>
  <si>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</si>
  <si>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</si>
  <si>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</si>
  <si>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</si>
  <si>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</si>
  <si>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</si>
  <si>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</si>
  <si>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</si>
  <si>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</si>
  <si>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</si>
  <si>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</si>
  <si>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</si>
  <si>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</si>
  <si>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</si>
  <si>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</si>
  <si>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</si>
  <si>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</si>
  <si>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</si>
  <si>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</si>
  <si>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</si>
  <si>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</si>
  <si>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</si>
  <si>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</si>
  <si>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</si>
  <si>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</si>
  <si>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</si>
  <si>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</si>
  <si>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</si>
  <si>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</si>
  <si>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</si>
  <si>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</si>
  <si>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</si>
  <si>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</si>
  <si>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</si>
  <si>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</si>
  <si>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</si>
  <si>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</si>
  <si>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</si>
  <si>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</si>
  <si>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</si>
  <si>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</si>
  <si>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</si>
  <si>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</si>
  <si>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</si>
  <si>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</si>
  <si>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</si>
  <si>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</si>
  <si>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</si>
  <si>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</si>
  <si>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</si>
  <si>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</si>
  <si>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</si>
  <si>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</si>
  <si>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</si>
  <si>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</si>
  <si>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</si>
  <si>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</si>
  <si>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</si>
  <si>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</si>
  <si>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</si>
  <si>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</si>
  <si>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</si>
  <si>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</si>
  <si>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</si>
  <si>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</si>
  <si>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</si>
  <si>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</si>
  <si>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</si>
  <si>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</si>
  <si>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</si>
  <si>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</si>
  <si>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</si>
  <si>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</si>
  <si>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</si>
  <si>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</si>
  <si>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</si>
  <si>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</si>
  <si>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</si>
  <si>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</si>
  <si>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</si>
  <si>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</si>
  <si>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</si>
  <si>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</si>
  <si>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</si>
  <si>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</si>
  <si>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</si>
  <si>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</si>
  <si>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</si>
  <si>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</si>
  <si>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</si>
  <si>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</si>
  <si>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</si>
  <si>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</si>
  <si>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</si>
  <si>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</si>
  <si>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</si>
  <si>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</si>
  <si>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</si>
  <si>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</si>
  <si>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</si>
  <si>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</si>
  <si>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</si>
  <si>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</si>
  <si>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</si>
  <si>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</si>
  <si>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</si>
  <si>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</si>
  <si>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</si>
  <si>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</si>
  <si>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</si>
  <si>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</si>
  <si>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</si>
  <si>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</si>
  <si>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</si>
  <si>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</si>
  <si>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</si>
  <si>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</si>
  <si>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</si>
  <si>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</si>
  <si>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</si>
  <si>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</si>
  <si>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</si>
  <si>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</si>
  <si>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</si>
  <si>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</si>
  <si>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</si>
  <si>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</si>
  <si>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</si>
  <si>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</si>
  <si>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</si>
  <si>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</si>
  <si>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</si>
  <si>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</si>
  <si>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</si>
  <si>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</si>
  <si>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</si>
  <si>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</si>
  <si>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</si>
  <si>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</si>
  <si>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</si>
  <si>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</si>
  <si>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</si>
  <si>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</si>
  <si>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</si>
  <si>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</si>
  <si>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</si>
  <si>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</si>
  <si>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</si>
  <si>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</si>
  <si>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</si>
  <si>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</si>
  <si>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</si>
  <si>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</si>
  <si>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</si>
  <si>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</si>
  <si>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</si>
  <si>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</si>
  <si>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</si>
  <si>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</si>
  <si>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</si>
  <si>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</si>
  <si>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</si>
  <si>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</si>
  <si>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</si>
  <si>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</si>
  <si>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</si>
  <si>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</si>
  <si>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</si>
  <si>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</si>
  <si>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</si>
  <si>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</si>
  <si>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</si>
  <si>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</si>
  <si>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</si>
  <si>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</si>
  <si>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</si>
  <si>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</si>
  <si>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</si>
  <si>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</si>
  <si>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</si>
  <si>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</si>
  <si>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</si>
  <si>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</si>
  <si>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</si>
  <si>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</si>
  <si>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</si>
  <si>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</si>
  <si>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</si>
  <si>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</si>
  <si>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</si>
  <si>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</si>
  <si>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</si>
  <si>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</si>
  <si>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</si>
  <si>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</si>
  <si>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</si>
  <si>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</si>
  <si>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</si>
  <si>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</si>
  <si>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</si>
  <si>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</si>
  <si>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</si>
  <si>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</si>
  <si>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</si>
  <si>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</si>
  <si>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</si>
  <si>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</si>
  <si>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</si>
  <si>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</si>
  <si>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</si>
  <si>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</si>
  <si>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</si>
  <si>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</si>
  <si>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</si>
  <si>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</si>
  <si>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</si>
  <si>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</si>
  <si>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</si>
  <si>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</si>
  <si>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</si>
  <si>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</si>
  <si>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</si>
  <si>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</si>
  <si>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</si>
  <si>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</si>
  <si>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</si>
  <si>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</si>
  <si>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</si>
  <si>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</si>
  <si>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</si>
  <si>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</si>
  <si>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</si>
  <si>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</si>
  <si>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</si>
  <si>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</si>
  <si>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</si>
  <si>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</si>
  <si>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</si>
  <si>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</si>
  <si>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</si>
  <si>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</si>
  <si>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</si>
  <si>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</si>
  <si>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</si>
  <si>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</si>
  <si>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</si>
  <si>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</si>
  <si>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</si>
  <si>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</si>
  <si>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</si>
  <si>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</si>
  <si>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</si>
  <si>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</si>
  <si>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</si>
  <si>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</si>
  <si>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</si>
  <si>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</si>
  <si>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</si>
  <si>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</si>
  <si>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</si>
  <si>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</si>
  <si>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</si>
  <si>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</si>
  <si>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</si>
  <si>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</si>
  <si>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</si>
  <si>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</si>
  <si>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</si>
  <si>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</si>
  <si>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</si>
  <si>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</si>
  <si>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</si>
  <si>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</si>
  <si>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</si>
  <si>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</si>
  <si>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</si>
  <si>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</si>
  <si>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</si>
  <si>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</si>
  <si>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</si>
  <si>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</si>
  <si>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</si>
  <si>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</si>
  <si>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</si>
  <si>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</si>
  <si>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</si>
  <si>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</si>
  <si>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</si>
  <si>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</si>
  <si>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</si>
  <si>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</si>
  <si>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</si>
  <si>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</si>
  <si>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</si>
  <si>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</si>
  <si>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</si>
  <si>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</si>
  <si>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</si>
  <si>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</si>
  <si>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</si>
  <si>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</si>
  <si>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</si>
  <si>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</si>
  <si>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</si>
  <si>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</si>
  <si>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</si>
  <si>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</si>
  <si>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</si>
  <si>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</si>
  <si>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</si>
  <si>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</si>
  <si>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</si>
  <si>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</si>
  <si>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</si>
  <si>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</si>
  <si>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</si>
  <si>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</si>
  <si>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</si>
  <si>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</si>
  <si>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</si>
  <si>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</si>
  <si>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</si>
  <si>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</si>
  <si>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</si>
  <si>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</si>
  <si>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</si>
  <si>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</si>
  <si>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</si>
  <si>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</si>
  <si>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</si>
  <si>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</si>
  <si>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</si>
  <si>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</si>
  <si>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</si>
  <si>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</si>
  <si>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</si>
  <si>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</si>
  <si>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</si>
  <si>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</si>
  <si>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</si>
  <si>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</si>
  <si>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</si>
  <si>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</si>
  <si>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</si>
  <si>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</si>
  <si>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</si>
  <si>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</si>
  <si>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</si>
  <si>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</si>
  <si>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</si>
  <si>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</si>
  <si>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</si>
  <si>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</si>
  <si>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</si>
  <si>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</si>
  <si>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</si>
  <si>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</si>
  <si>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</si>
  <si>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</si>
  <si>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</si>
  <si>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</si>
  <si>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</si>
  <si>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</si>
  <si>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</si>
  <si>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</si>
  <si>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</si>
  <si>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</si>
  <si>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</si>
  <si>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</si>
  <si>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</si>
  <si>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</si>
  <si>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</si>
  <si>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</si>
  <si>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</si>
  <si>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</si>
  <si>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</si>
  <si>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</si>
  <si>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</si>
  <si>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</si>
  <si>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</si>
  <si>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</si>
  <si>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</si>
  <si>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</si>
  <si>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</si>
  <si>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</si>
  <si>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</si>
  <si>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</si>
  <si>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</si>
  <si>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</si>
  <si>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</si>
  <si>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</si>
  <si>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</si>
  <si>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</si>
  <si>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</si>
  <si>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</si>
  <si>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</si>
  <si>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</si>
  <si>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</si>
  <si>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</si>
  <si>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</si>
  <si>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</si>
  <si>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</si>
  <si>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</si>
  <si>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</si>
  <si>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</si>
  <si>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</si>
  <si>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</si>
  <si>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</si>
  <si>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</si>
  <si>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</si>
  <si>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</si>
  <si>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</si>
  <si>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</si>
  <si>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</si>
  <si>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</si>
  <si>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</si>
  <si>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</si>
  <si>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</si>
  <si>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</si>
  <si>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</si>
  <si>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</si>
  <si>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</si>
  <si>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</si>
  <si>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</si>
  <si>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</si>
  <si>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</si>
  <si>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</si>
  <si>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</si>
  <si>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</si>
  <si>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</si>
  <si>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</si>
  <si>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</si>
  <si>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</si>
  <si>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</si>
  <si>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</si>
  <si>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</si>
  <si>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</si>
  <si>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</si>
  <si>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</si>
  <si>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</si>
  <si>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</si>
  <si>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</si>
  <si>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</si>
  <si>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</si>
  <si>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</si>
  <si>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</si>
  <si>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</si>
  <si>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</si>
  <si>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</si>
  <si>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</si>
  <si>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</si>
  <si>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</si>
  <si>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</si>
  <si>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</si>
  <si>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</si>
  <si>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</si>
  <si>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</si>
  <si>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</si>
  <si>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</si>
  <si>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</si>
  <si>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</si>
  <si>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</si>
  <si>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</si>
  <si>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</si>
  <si>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</si>
  <si>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</si>
  <si>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</si>
  <si>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</si>
  <si>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</si>
  <si>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</si>
  <si>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</si>
  <si>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</si>
  <si>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</si>
  <si>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</si>
  <si>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</si>
  <si>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</si>
  <si>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</si>
  <si>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</si>
  <si>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</si>
  <si>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</si>
  <si>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</si>
  <si>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</si>
  <si>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</si>
  <si>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</si>
  <si>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</si>
  <si>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</si>
  <si>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</si>
  <si>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</si>
  <si>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</si>
  <si>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</si>
  <si>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</si>
  <si>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</si>
  <si>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</si>
  <si>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</si>
  <si>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</si>
  <si>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</si>
  <si>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</si>
  <si>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</si>
  <si>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</si>
  <si>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</si>
  <si>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</si>
  <si>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</si>
  <si>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</si>
  <si>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</si>
  <si>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</si>
  <si>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</si>
  <si>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</si>
  <si>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</si>
  <si>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Süddeutsche Metallhandelsges. mbH (SMH) / Diehl Brass Solutions Stiftung &amp; Co. KG / Franconia Industries, Inc.</t>
  </si>
  <si>
    <t>Manufacturing of semi-fabricated products (strips, rods, tubes) by melting and extruding or rolling of copper alloys</t>
  </si>
  <si>
    <t>DE 811157796</t>
  </si>
  <si>
    <t>Heinrich-Diehl-Strasse 9, 90552 Röthenbach, Germany</t>
  </si>
  <si>
    <t>VAT</t>
  </si>
  <si>
    <t>Günther Ernst</t>
  </si>
  <si>
    <t>guenther.ernst@diehl.com</t>
  </si>
  <si>
    <t>+49 911 5704161</t>
  </si>
  <si>
    <t>Managing Director</t>
  </si>
  <si>
    <t>Only smelters that are audited by RMI as conflict-free are used.</t>
  </si>
  <si>
    <t>Approximately 80% recycled tin and 20% tin ingots</t>
  </si>
  <si>
    <t>100%</t>
  </si>
  <si>
    <t>Part of contract management</t>
  </si>
  <si>
    <t>Documentation review only</t>
  </si>
  <si>
    <t>adjoined countries (including the Democratic Republic of Congo)</t>
  </si>
  <si>
    <t>RECYCLED</t>
  </si>
  <si>
    <t>PT Sukses Inti Makmur</t>
  </si>
  <si>
    <t>Sungai Samak</t>
  </si>
  <si>
    <t>https://www.diehl.com/cms/files/Diehl_Brass_Solutions_GPC_production-material_06.2021.pdf</t>
  </si>
  <si>
    <t>Brazil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</si>
</sst>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guenther.ernst@dieh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diehl.com/cms/files/Diehl_Brass_Solutions_GPC_production-material_06.2021.pdf" TargetMode="External"/><Relationship Id="rId4" Type="http://schemas.openxmlformats.org/officeDocument/2006/relationships/hyperlink" Target="mailto:guenther.ernst@dieh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837</v>
      </c>
      <c r="C2" s="3"/>
      <c r="D2" s="175"/>
      <c r="E2" s="3"/>
      <c r="F2" s="3"/>
      <c r="G2" s="25"/>
    </row>
    <row r="3" spans="1:7">
      <c r="A3" s="305"/>
      <c r="B3" s="3" t="s">
        <v>829</v>
      </c>
      <c r="C3" s="5"/>
      <c r="D3" s="176"/>
      <c r="E3" s="3"/>
      <c r="F3" s="5"/>
      <c r="G3" s="25"/>
    </row>
    <row r="4" spans="1:7" ht="15.75">
      <c r="A4" s="305"/>
      <c r="B4" s="30" t="s">
        <v>839</v>
      </c>
      <c r="C4" s="6"/>
      <c r="D4" s="177"/>
      <c r="E4" s="3"/>
      <c r="F4" s="6"/>
      <c r="G4" s="25"/>
    </row>
    <row r="5" spans="1:7">
      <c r="A5" s="305"/>
      <c r="B5" s="29" t="s">
        <v>1030</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840</v>
      </c>
      <c r="C9" s="308"/>
      <c r="D9" s="308"/>
      <c r="E9" s="308"/>
      <c r="F9" s="308"/>
      <c r="G9" s="25"/>
    </row>
    <row r="10" spans="1:7" ht="27" customHeight="1">
      <c r="A10" s="305"/>
      <c r="B10" s="309" t="s">
        <v>434</v>
      </c>
      <c r="C10" s="309"/>
      <c r="D10" s="309"/>
      <c r="E10" s="309"/>
      <c r="F10" s="309"/>
      <c r="G10" s="25"/>
    </row>
    <row r="11" spans="1:7" ht="27" customHeight="1">
      <c r="A11" s="305"/>
      <c r="B11" s="310"/>
      <c r="C11" s="310"/>
      <c r="D11" s="310"/>
      <c r="E11" s="310"/>
      <c r="F11" s="310"/>
      <c r="G11" s="25"/>
    </row>
    <row r="12" spans="1:7">
      <c r="A12" s="305"/>
      <c r="B12" s="31" t="s">
        <v>838</v>
      </c>
      <c r="C12" s="32" t="s">
        <v>841</v>
      </c>
      <c r="D12" s="179" t="s">
        <v>842</v>
      </c>
      <c r="E12" s="32" t="s">
        <v>608</v>
      </c>
      <c r="F12" s="32" t="s">
        <v>609</v>
      </c>
      <c r="G12" s="25"/>
    </row>
    <row r="13" spans="1:7" ht="33.75">
      <c r="A13" s="305"/>
      <c r="B13" s="2">
        <v>1</v>
      </c>
      <c r="C13" s="27" t="s">
        <v>1078</v>
      </c>
      <c r="D13" s="28" t="s">
        <v>866</v>
      </c>
      <c r="E13" s="163" t="s">
        <v>843</v>
      </c>
      <c r="F13" s="163"/>
      <c r="G13" s="25"/>
    </row>
    <row r="14" spans="1:7" ht="33.75">
      <c r="A14" s="305"/>
      <c r="B14" s="2">
        <v>2</v>
      </c>
      <c r="C14" s="27" t="s">
        <v>1078</v>
      </c>
      <c r="D14" s="28" t="s">
        <v>1015</v>
      </c>
      <c r="E14" s="163" t="s">
        <v>526</v>
      </c>
      <c r="F14" s="163" t="s">
        <v>527</v>
      </c>
      <c r="G14" s="25"/>
    </row>
    <row r="15" spans="1:7" ht="89.1" customHeight="1">
      <c r="A15" s="305"/>
      <c r="B15" s="311">
        <v>2.0099999999999998</v>
      </c>
      <c r="C15" s="302" t="s">
        <v>1078</v>
      </c>
      <c r="D15" s="314" t="s">
        <v>2229</v>
      </c>
      <c r="E15" s="164" t="s">
        <v>610</v>
      </c>
      <c r="F15" s="164" t="s">
        <v>613</v>
      </c>
      <c r="G15" s="25"/>
    </row>
    <row r="16" spans="1:7" ht="99" customHeight="1">
      <c r="A16" s="305"/>
      <c r="B16" s="312"/>
      <c r="C16" s="303"/>
      <c r="D16" s="315"/>
      <c r="E16" s="165"/>
      <c r="F16" s="165" t="s">
        <v>611</v>
      </c>
      <c r="G16" s="25"/>
    </row>
    <row r="17" spans="1:7" ht="63" customHeight="1">
      <c r="A17" s="305"/>
      <c r="B17" s="313"/>
      <c r="C17" s="304"/>
      <c r="D17" s="316"/>
      <c r="E17" s="27"/>
      <c r="F17" s="27" t="s">
        <v>612</v>
      </c>
      <c r="G17" s="25"/>
    </row>
    <row r="18" spans="1:7" ht="117" customHeight="1">
      <c r="A18" s="305"/>
      <c r="B18" s="311">
        <v>2.02</v>
      </c>
      <c r="C18" s="302" t="s">
        <v>1078</v>
      </c>
      <c r="D18" s="314" t="s">
        <v>2230</v>
      </c>
      <c r="E18" s="164" t="s">
        <v>435</v>
      </c>
      <c r="F18" s="164" t="s">
        <v>521</v>
      </c>
      <c r="G18" s="25"/>
    </row>
    <row r="19" spans="1:7" ht="71.099999999999994" customHeight="1">
      <c r="A19" s="305"/>
      <c r="B19" s="312"/>
      <c r="C19" s="303"/>
      <c r="D19" s="315"/>
      <c r="E19" s="165" t="s">
        <v>525</v>
      </c>
      <c r="F19" s="165" t="s">
        <v>436</v>
      </c>
      <c r="G19" s="25"/>
    </row>
    <row r="20" spans="1:7" ht="90.75" customHeight="1">
      <c r="A20" s="305"/>
      <c r="B20" s="312"/>
      <c r="C20" s="303"/>
      <c r="D20" s="315"/>
      <c r="E20" s="165"/>
      <c r="F20" s="165" t="s">
        <v>615</v>
      </c>
      <c r="G20" s="25"/>
    </row>
    <row r="21" spans="1:7" ht="74.25" customHeight="1">
      <c r="A21" s="305"/>
      <c r="B21" s="313"/>
      <c r="C21" s="304"/>
      <c r="D21" s="316"/>
      <c r="E21" s="27"/>
      <c r="F21" s="27" t="s">
        <v>614</v>
      </c>
      <c r="G21" s="25"/>
    </row>
    <row r="22" spans="1:7" ht="90" customHeight="1">
      <c r="A22" s="305"/>
      <c r="B22" s="296">
        <v>2.0299999999999998</v>
      </c>
      <c r="C22" s="296" t="s">
        <v>812</v>
      </c>
      <c r="D22" s="299" t="s">
        <v>2231</v>
      </c>
      <c r="E22" s="302" t="s">
        <v>433</v>
      </c>
      <c r="F22" s="164" t="s">
        <v>456</v>
      </c>
      <c r="G22" s="25"/>
    </row>
    <row r="23" spans="1:7" ht="109.5" customHeight="1">
      <c r="A23" s="305"/>
      <c r="B23" s="297"/>
      <c r="C23" s="297"/>
      <c r="D23" s="300"/>
      <c r="E23" s="303"/>
      <c r="F23" s="165" t="s">
        <v>813</v>
      </c>
      <c r="G23" s="25"/>
    </row>
    <row r="24" spans="1:7" ht="74.25" customHeight="1">
      <c r="A24" s="305"/>
      <c r="B24" s="298"/>
      <c r="C24" s="298"/>
      <c r="D24" s="301"/>
      <c r="E24" s="304"/>
      <c r="F24" s="27" t="s">
        <v>432</v>
      </c>
      <c r="G24" s="25"/>
    </row>
    <row r="25" spans="1:7" ht="72" customHeight="1">
      <c r="A25" s="305"/>
      <c r="B25" s="2" t="s">
        <v>454</v>
      </c>
      <c r="C25" s="27" t="s">
        <v>455</v>
      </c>
      <c r="D25" s="28" t="s">
        <v>2232</v>
      </c>
      <c r="E25" s="27" t="s">
        <v>2227</v>
      </c>
      <c r="F25" s="27" t="s">
        <v>457</v>
      </c>
      <c r="G25" s="25"/>
    </row>
    <row r="26" spans="1:7" ht="98.1" customHeight="1">
      <c r="A26" s="305"/>
      <c r="B26" s="293">
        <v>3</v>
      </c>
      <c r="C26" s="311" t="s">
        <v>67</v>
      </c>
      <c r="D26" s="314" t="s">
        <v>2233</v>
      </c>
      <c r="E26" s="302" t="s">
        <v>0</v>
      </c>
      <c r="F26" s="164" t="s">
        <v>61</v>
      </c>
      <c r="G26" s="25"/>
    </row>
    <row r="27" spans="1:7" ht="90" customHeight="1">
      <c r="A27" s="305"/>
      <c r="B27" s="294"/>
      <c r="C27" s="312"/>
      <c r="D27" s="315"/>
      <c r="E27" s="303"/>
      <c r="F27" s="165" t="s">
        <v>56</v>
      </c>
      <c r="G27" s="25"/>
    </row>
    <row r="28" spans="1:7" ht="19.350000000000001" customHeight="1">
      <c r="A28" s="305"/>
      <c r="B28" s="294"/>
      <c r="C28" s="312"/>
      <c r="D28" s="315"/>
      <c r="E28" s="303"/>
      <c r="F28" s="165" t="s">
        <v>57</v>
      </c>
      <c r="G28" s="25"/>
    </row>
    <row r="29" spans="1:7" ht="74.45" customHeight="1">
      <c r="A29" s="305"/>
      <c r="B29" s="294"/>
      <c r="C29" s="312"/>
      <c r="D29" s="315"/>
      <c r="E29" s="303"/>
      <c r="F29" s="165" t="s">
        <v>58</v>
      </c>
      <c r="G29" s="25"/>
    </row>
    <row r="30" spans="1:7" ht="62.45" customHeight="1">
      <c r="A30" s="305"/>
      <c r="B30" s="294"/>
      <c r="C30" s="312"/>
      <c r="D30" s="315"/>
      <c r="E30" s="303"/>
      <c r="F30" s="165" t="s">
        <v>59</v>
      </c>
      <c r="G30" s="25"/>
    </row>
    <row r="31" spans="1:7" ht="81" customHeight="1">
      <c r="A31" s="305"/>
      <c r="B31" s="294"/>
      <c r="C31" s="312"/>
      <c r="D31" s="315"/>
      <c r="E31" s="303"/>
      <c r="F31" s="165" t="s">
        <v>60</v>
      </c>
      <c r="G31" s="25"/>
    </row>
    <row r="32" spans="1:7" ht="48.75" customHeight="1">
      <c r="A32" s="305"/>
      <c r="B32" s="294"/>
      <c r="C32" s="312"/>
      <c r="D32" s="315"/>
      <c r="E32" s="303"/>
      <c r="F32" s="165" t="s">
        <v>63</v>
      </c>
      <c r="G32" s="25"/>
    </row>
    <row r="33" spans="1:7" ht="98.45" customHeight="1">
      <c r="A33" s="305"/>
      <c r="B33" s="294"/>
      <c r="C33" s="312"/>
      <c r="D33" s="315"/>
      <c r="E33" s="303"/>
      <c r="F33" s="165" t="s">
        <v>62</v>
      </c>
      <c r="G33" s="25"/>
    </row>
    <row r="34" spans="1:7" ht="89.1" customHeight="1">
      <c r="A34" s="305"/>
      <c r="B34" s="294"/>
      <c r="C34" s="312"/>
      <c r="D34" s="315"/>
      <c r="E34" s="303"/>
      <c r="F34" s="165" t="s">
        <v>64</v>
      </c>
      <c r="G34" s="25"/>
    </row>
    <row r="35" spans="1:7" ht="29.1" customHeight="1">
      <c r="A35" s="305"/>
      <c r="B35" s="294"/>
      <c r="C35" s="312"/>
      <c r="D35" s="315"/>
      <c r="E35" s="303"/>
      <c r="F35" s="165" t="s">
        <v>65</v>
      </c>
      <c r="G35" s="25"/>
    </row>
    <row r="36" spans="1:7" ht="126.75">
      <c r="A36" s="305"/>
      <c r="B36" s="295"/>
      <c r="C36" s="313"/>
      <c r="D36" s="316"/>
      <c r="E36" s="304"/>
      <c r="F36" s="166" t="s">
        <v>66</v>
      </c>
      <c r="G36" s="25"/>
    </row>
    <row r="37" spans="1:7" ht="112.5">
      <c r="A37" s="305"/>
      <c r="B37" s="141">
        <v>3.01</v>
      </c>
      <c r="C37" s="142" t="s">
        <v>67</v>
      </c>
      <c r="D37" s="28" t="s">
        <v>2234</v>
      </c>
      <c r="E37" s="167" t="s">
        <v>1316</v>
      </c>
      <c r="F37" s="168" t="s">
        <v>1420</v>
      </c>
      <c r="G37" s="25"/>
    </row>
    <row r="38" spans="1:7" ht="101.25">
      <c r="A38" s="305"/>
      <c r="B38" s="141">
        <v>3.02</v>
      </c>
      <c r="C38" s="142" t="s">
        <v>1349</v>
      </c>
      <c r="D38" s="28" t="s">
        <v>2235</v>
      </c>
      <c r="E38" s="167" t="s">
        <v>1364</v>
      </c>
      <c r="F38" s="168" t="s">
        <v>1421</v>
      </c>
      <c r="G38" s="25"/>
    </row>
    <row r="39" spans="1:7" ht="101.25">
      <c r="A39" s="305"/>
      <c r="B39" s="150">
        <v>4</v>
      </c>
      <c r="C39" s="149" t="s">
        <v>1517</v>
      </c>
      <c r="D39" s="28" t="s">
        <v>2236</v>
      </c>
      <c r="E39" s="27" t="s">
        <v>2182</v>
      </c>
      <c r="F39" s="27" t="s">
        <v>1518</v>
      </c>
      <c r="G39" s="25"/>
    </row>
    <row r="40" spans="1:7" ht="56.25">
      <c r="A40" s="305"/>
      <c r="B40" s="141">
        <v>4.01</v>
      </c>
      <c r="C40" s="149" t="s">
        <v>1517</v>
      </c>
      <c r="D40" s="28" t="s">
        <v>2238</v>
      </c>
      <c r="E40" s="27" t="s">
        <v>2194</v>
      </c>
      <c r="F40" s="27" t="s">
        <v>2198</v>
      </c>
      <c r="G40" s="25"/>
    </row>
    <row r="41" spans="1:7" ht="56.25">
      <c r="A41" s="305"/>
      <c r="B41" s="141" t="s">
        <v>2225</v>
      </c>
      <c r="C41" s="149" t="s">
        <v>1517</v>
      </c>
      <c r="D41" s="28" t="s">
        <v>2237</v>
      </c>
      <c r="E41" s="27" t="s">
        <v>2228</v>
      </c>
      <c r="F41" s="27" t="s">
        <v>2226</v>
      </c>
      <c r="G41" s="25"/>
    </row>
    <row r="42" spans="1:7" ht="56.25">
      <c r="A42" s="305"/>
      <c r="B42" s="141" t="s">
        <v>2259</v>
      </c>
      <c r="C42" s="149" t="s">
        <v>1517</v>
      </c>
      <c r="D42" s="28" t="s">
        <v>2264</v>
      </c>
      <c r="E42" s="27" t="s">
        <v>2227</v>
      </c>
      <c r="F42" s="27" t="s">
        <v>2260</v>
      </c>
      <c r="G42" s="25"/>
    </row>
    <row r="43" spans="1:7" ht="123.75">
      <c r="A43" s="305"/>
      <c r="B43" s="160">
        <v>4.0999999999999996</v>
      </c>
      <c r="C43" s="149" t="s">
        <v>2263</v>
      </c>
      <c r="D43" s="161">
        <v>42867</v>
      </c>
      <c r="E43" s="169" t="s">
        <v>2266</v>
      </c>
      <c r="F43" s="27" t="s">
        <v>2265</v>
      </c>
      <c r="G43" s="25"/>
    </row>
    <row r="44" spans="1:7" ht="78.75">
      <c r="A44" s="305"/>
      <c r="B44" s="160">
        <v>4.2</v>
      </c>
      <c r="C44" s="149" t="s">
        <v>2263</v>
      </c>
      <c r="D44" s="161">
        <v>42704</v>
      </c>
      <c r="E44" s="169" t="s">
        <v>2462</v>
      </c>
      <c r="F44" s="27" t="s">
        <v>2437</v>
      </c>
      <c r="G44" s="25"/>
    </row>
    <row r="45" spans="1:7" ht="157.5">
      <c r="A45" s="305"/>
      <c r="B45" s="202">
        <v>5</v>
      </c>
      <c r="C45" s="149" t="s">
        <v>2263</v>
      </c>
      <c r="D45" s="161">
        <v>42867</v>
      </c>
      <c r="E45" s="169" t="s">
        <v>12683</v>
      </c>
      <c r="F45" s="27" t="s">
        <v>12405</v>
      </c>
      <c r="G45" s="25"/>
    </row>
    <row r="46" spans="1:7" ht="45">
      <c r="A46" s="305"/>
      <c r="B46" s="160">
        <v>5.01</v>
      </c>
      <c r="C46" s="149" t="s">
        <v>2263</v>
      </c>
      <c r="D46" s="161">
        <v>42907</v>
      </c>
      <c r="E46" s="169" t="s">
        <v>15484</v>
      </c>
      <c r="F46" s="27" t="s">
        <v>12405</v>
      </c>
      <c r="G46" s="25"/>
    </row>
    <row r="47" spans="1:7" ht="67.5">
      <c r="A47" s="305"/>
      <c r="B47" s="160">
        <v>5.0999999999999996</v>
      </c>
      <c r="C47" s="149" t="s">
        <v>2263</v>
      </c>
      <c r="D47" s="161">
        <v>43070</v>
      </c>
      <c r="E47" s="169" t="s">
        <v>12893</v>
      </c>
      <c r="F47" s="27" t="s">
        <v>12894</v>
      </c>
      <c r="G47" s="25"/>
    </row>
    <row r="48" spans="1:7" ht="56.25">
      <c r="A48" s="305"/>
      <c r="B48" s="160">
        <v>5.1100000000000003</v>
      </c>
      <c r="C48" s="149" t="s">
        <v>13129</v>
      </c>
      <c r="D48" s="161">
        <v>43217</v>
      </c>
      <c r="E48" s="169" t="s">
        <v>13255</v>
      </c>
      <c r="F48" s="27" t="s">
        <v>13163</v>
      </c>
      <c r="G48" s="25"/>
    </row>
    <row r="49" spans="1:7" ht="56.25">
      <c r="A49" s="305"/>
      <c r="B49" s="160">
        <v>5.12</v>
      </c>
      <c r="C49" s="149" t="s">
        <v>13129</v>
      </c>
      <c r="D49" s="161">
        <v>43581</v>
      </c>
      <c r="E49" s="169" t="s">
        <v>13255</v>
      </c>
      <c r="F49" s="27" t="s">
        <v>13807</v>
      </c>
      <c r="G49" s="25"/>
    </row>
    <row r="50" spans="1:7" ht="78.75">
      <c r="A50" s="305"/>
      <c r="B50" s="202">
        <v>6</v>
      </c>
      <c r="C50" s="149" t="s">
        <v>13129</v>
      </c>
      <c r="D50" s="161">
        <v>43964</v>
      </c>
      <c r="E50" s="169" t="s">
        <v>14020</v>
      </c>
      <c r="F50" s="27" t="s">
        <v>13810</v>
      </c>
      <c r="G50" s="25"/>
    </row>
    <row r="51" spans="1:7" ht="45">
      <c r="A51" s="305"/>
      <c r="B51" s="160">
        <v>6.01</v>
      </c>
      <c r="C51" s="149" t="s">
        <v>13129</v>
      </c>
      <c r="D51" s="161">
        <v>43970</v>
      </c>
      <c r="E51" s="169" t="s">
        <v>15485</v>
      </c>
      <c r="F51" s="169" t="s">
        <v>13810</v>
      </c>
      <c r="G51" s="25"/>
    </row>
    <row r="52" spans="1:7" ht="45">
      <c r="A52" s="305"/>
      <c r="B52" s="160">
        <v>6.1</v>
      </c>
      <c r="C52" s="149" t="s">
        <v>13129</v>
      </c>
      <c r="D52" s="161">
        <v>44314</v>
      </c>
      <c r="E52" s="169" t="s">
        <v>15477</v>
      </c>
      <c r="F52" s="169" t="s">
        <v>15015</v>
      </c>
      <c r="G52" s="25"/>
    </row>
    <row r="53" spans="1:7" ht="45">
      <c r="A53" s="305"/>
      <c r="B53" s="160">
        <v>6.2</v>
      </c>
      <c r="C53" s="149" t="s">
        <v>13129</v>
      </c>
      <c r="D53" s="161">
        <v>44678</v>
      </c>
      <c r="E53" s="169" t="s">
        <v>15477</v>
      </c>
      <c r="F53" s="169" t="s">
        <v>15476</v>
      </c>
      <c r="G53" s="25"/>
    </row>
    <row r="54" spans="1:7" ht="45">
      <c r="A54" s="305"/>
      <c r="B54" s="160">
        <v>6.21</v>
      </c>
      <c r="C54" s="149" t="s">
        <v>13129</v>
      </c>
      <c r="D54" s="161">
        <v>44687</v>
      </c>
      <c r="E54" s="169" t="s">
        <v>15486</v>
      </c>
      <c r="F54" s="169" t="s">
        <v>15476</v>
      </c>
      <c r="G54" s="25"/>
    </row>
    <row r="55" spans="1:7" ht="45">
      <c r="A55" s="305"/>
      <c r="B55" s="160">
        <v>6.22</v>
      </c>
      <c r="C55" s="149" t="s">
        <v>13129</v>
      </c>
      <c r="D55" s="275">
        <v>44692</v>
      </c>
      <c r="E55" s="169" t="s">
        <v>15485</v>
      </c>
      <c r="F55" s="169" t="s">
        <v>15476</v>
      </c>
      <c r="G55" s="25"/>
    </row>
    <row r="56" spans="1:7" ht="56.25">
      <c r="A56" s="305"/>
      <c r="B56" s="202">
        <v>6.3</v>
      </c>
      <c r="C56" s="149" t="s">
        <v>13129</v>
      </c>
      <c r="D56" s="275">
        <v>45051</v>
      </c>
      <c r="E56" s="169" t="s">
        <v>15753</v>
      </c>
      <c r="F56" s="169" t="s">
        <v>15534</v>
      </c>
      <c r="G56" s="25"/>
    </row>
    <row r="57" spans="1:7" ht="45">
      <c r="A57" s="305"/>
      <c r="B57" s="160">
        <v>6.31</v>
      </c>
      <c r="C57" s="149" t="s">
        <v>13129</v>
      </c>
      <c r="D57" s="275">
        <v>45072</v>
      </c>
      <c r="E57" s="169" t="s">
        <v>15755</v>
      </c>
      <c r="F57" s="169" t="s">
        <v>15534</v>
      </c>
      <c r="G57" s="25"/>
    </row>
    <row r="58" spans="1:7" ht="44.45" customHeight="1">
      <c r="A58" s="305"/>
      <c r="B58" s="202">
        <v>6.4</v>
      </c>
      <c r="C58" s="149" t="s">
        <v>13129</v>
      </c>
      <c r="D58" s="275">
        <v>45408</v>
      </c>
      <c r="E58" s="169" t="s">
        <v>15757</v>
      </c>
      <c r="F58" s="169" t="s">
        <v>15756</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806ABF9-988A-4745-A4E9-CD4EBCEC698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335F352D-37B6-46E7-9976-010E91B92A3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3" zoomScalePageLayoutView="70" workbookViewId="0">
      <selection activeCell="D16" sqref="D16:J16"/>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15856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15857</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15859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45476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34" t="s">
        <v>15864</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34" t="s">
        <v>15864</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34" t="s">
        <v>15865</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t="s">
        <v>15867</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15873</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t="s">
        <v>15868</v>
      </c>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2463</v>
      </c>
      <c r="D100" s="282" t="str">
        <f>IF(AND(OR($D$27="Yes",$D$27=""),OR($D$33="Yes",$D$33="")),"No","")</f>
        <v>No</v>
      </c>
      <c r="E100" s="282" t="str">
        <f>IF(AND(OR($D$26="Yes",$D$26=""),OR($D$32="Yes",$D$32="")),"50% or less","")</f>
        <v/>
      </c>
      <c r="G100" s="282" t="str">
        <f>IF(OR($D$28="Yes",$D$28=""),"Yes","")</f>
        <v/>
      </c>
    </row>
    <row r="101" spans="2:7" ht="15.75" hidden="1">
      <c r="B101" s="236" t="s">
        <v>2464</v>
      </c>
      <c r="D101" s="282" t="str">
        <f>IF(AND(OR($D$27="Yes",$D$27=""),OR($D$33="Yes",$D$33="")),"Unknown","")</f>
        <v>Unknown</v>
      </c>
      <c r="E101" s="282" t="str">
        <f>IF(AND(OR($D$26="Yes",$D$26=""),OR($D$32="Yes",$D$32="")),"None","")</f>
        <v/>
      </c>
      <c r="G101" s="282" t="str">
        <f>IF(OR($D$28="Yes",$D$28=""),"No","")</f>
        <v/>
      </c>
    </row>
    <row r="102" spans="2:7" ht="15.75" hidden="1">
      <c r="B102" s="236" t="s">
        <v>2465</v>
      </c>
      <c r="D102" s="282" t="str">
        <f>IF(AND(OR($D$28="Yes",$D$28=""),OR($D$34="Yes",$D$34="")),"Yes","")</f>
        <v/>
      </c>
      <c r="E102" s="282" t="str">
        <f>IF(AND(OR($D$27="Yes",$D$27=""),OR($D$33="Yes",$D$33="")),"100%","")</f>
        <v>100%</v>
      </c>
      <c r="G102" s="282" t="str">
        <f>IF(OR($D$29="Yes",$D$29=""),"Yes","")</f>
        <v/>
      </c>
    </row>
    <row r="103" spans="2:7" ht="15.75" hidden="1">
      <c r="B103" s="236" t="s">
        <v>2466</v>
      </c>
      <c r="D103" s="282" t="str">
        <f>IF(AND(OR($D$28="Yes",$D$28=""),OR($D$34="Yes",$D$34="")),"No","")</f>
        <v/>
      </c>
      <c r="E103" s="282" t="str">
        <f>IF(AND(OR($D$27="Yes",$D$27=""),OR($D$33="Yes",$D$33="")),"Greater than 90%","")</f>
        <v>Greater than 90%</v>
      </c>
      <c r="G103" s="282" t="str">
        <f>IF(OR($D$29="Yes",$D$29=""),"No","")</f>
        <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
      </c>
      <c r="E105" s="282" t="str">
        <f>IF(AND(OR($D$27="Yes",$D$27=""),OR($D$33="Yes",$D$33="")),"Greater than 50%","")</f>
        <v>Greater than 50%</v>
      </c>
    </row>
    <row r="106" spans="2:7" ht="15.75" hidden="1">
      <c r="B106" s="236" t="s">
        <v>12372</v>
      </c>
      <c r="D106" s="282" t="str">
        <f>IF(AND(OR($D$29="Yes",$D$29=""),OR($D$35="Yes",$D$35="")),"No","")</f>
        <v/>
      </c>
      <c r="E106" s="282" t="str">
        <f>IF(AND(OR($D$27="Yes",$D$27=""),OR($D$33="Yes",$D$33="")),"50% or less","")</f>
        <v>50% or less</v>
      </c>
    </row>
    <row r="107" spans="2:7" ht="15.75" hidden="1">
      <c r="B107" s="236" t="s">
        <v>485</v>
      </c>
      <c r="D107" s="282" t="str">
        <f>IF(AND(OR($D$29="Yes",$D$29=""),OR($D$35="Yes",$D$35="")),"Unknown","")</f>
        <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ED342EA-F64A-4577-AD15-2ECDA1E0E7D4}"/>
    <hyperlink ref="D20" r:id="rId4" xr:uid="{5564FE5F-E130-4A35-BD44-A8DB6A5AECAA}"/>
    <hyperlink ref="G77" r:id="rId5" xr:uid="{F209F959-A492-4939-8720-72AC4A4FC5F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8" zoomScaleNormal="100" zoomScalePageLayoutView="55" workbookViewId="0">
      <selection activeCell="E5" sqref="E5"/>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6.25" customHeight="1">
      <c r="A5" s="262"/>
      <c r="B5" s="182" t="s">
        <v>1120</v>
      </c>
      <c r="C5" s="186" t="s">
        <v>13778</v>
      </c>
      <c r="D5" s="230"/>
      <c r="E5" s="182" t="s">
        <v>1095</v>
      </c>
      <c r="F5" s="182" t="s">
        <v>776</v>
      </c>
      <c r="G5" s="182" t="s">
        <v>13217</v>
      </c>
      <c r="H5" s="183">
        <v>0</v>
      </c>
      <c r="I5" s="184" t="s">
        <v>1780</v>
      </c>
      <c r="J5" s="184" t="s">
        <v>12830</v>
      </c>
      <c r="K5" s="224"/>
      <c r="L5" s="224"/>
      <c r="M5" s="224"/>
      <c r="N5" s="224"/>
      <c r="O5" s="224" t="s">
        <v>1095</v>
      </c>
      <c r="P5" s="185"/>
      <c r="Q5" s="225"/>
      <c r="R5" s="182" t="str">
        <f ca="1">IF(ISERROR($V5),"",OFFSET('Smelter Look-up'!$C$4,$V5-4,0)&amp;"")</f>
        <v>PT Timah Tbk Mentok</v>
      </c>
      <c r="S5" s="181" t="str">
        <f ca="1">IF(B5="","",IF(ISERROR(MATCH($E5,CL,0)),"Unknown",INDIRECT("'C'!$A$"&amp;MATCH($E5,CL,0)+1)))</f>
        <v>ID</v>
      </c>
      <c r="T5" s="181" t="str">
        <f ca="1">IF(B5="","",IF(ISERROR(MATCH($J5,SorP!$B$1:$B$6226,0)),"",INDIRECT("'SorP'!$A$"&amp;MATCH($S5&amp;$J5,SorP!C:C,0))))</f>
        <v>ID-BB</v>
      </c>
      <c r="U5" s="201"/>
      <c r="V5" s="226">
        <f>IF(C5="",NA(),IF(OR(C5="Smelter not listed",C5="Smelter not yet identified"),MATCH($B5&amp;$D5,'Smelter Look-up'!$J:$J,0),MATCH($B5&amp;$C5,'Smelter Look-up'!$J:$J,0)))</f>
        <v>533</v>
      </c>
      <c r="X5" s="227">
        <f t="shared" ref="X5" si="0">IF(AND(C5="Smelter not listed",OR(LEN(D5)=0,LEN(E5)=0)),1,0)</f>
        <v>0</v>
      </c>
      <c r="AB5" s="228" t="str">
        <f t="shared" ref="AB5" si="1">B5&amp;C5</f>
        <v>TinPT Timah Tbk Mentok</v>
      </c>
    </row>
    <row r="6" spans="1:34" s="227" customFormat="1" ht="24.75" customHeight="1">
      <c r="A6" s="262"/>
      <c r="B6" s="182" t="s">
        <v>1120</v>
      </c>
      <c r="C6" s="186" t="s">
        <v>13779</v>
      </c>
      <c r="D6" s="230"/>
      <c r="E6" s="182" t="s">
        <v>1095</v>
      </c>
      <c r="F6" s="182" t="s">
        <v>794</v>
      </c>
      <c r="G6" s="182" t="s">
        <v>13217</v>
      </c>
      <c r="H6" s="183">
        <v>0</v>
      </c>
      <c r="I6" s="184" t="s">
        <v>1778</v>
      </c>
      <c r="J6" s="184" t="s">
        <v>6047</v>
      </c>
      <c r="K6" s="224"/>
      <c r="L6" s="224"/>
      <c r="M6" s="224"/>
      <c r="N6" s="224"/>
      <c r="O6" s="224" t="s">
        <v>1095</v>
      </c>
      <c r="P6" s="185"/>
      <c r="Q6" s="225"/>
      <c r="R6" s="182" t="str">
        <f ca="1">IF(ISERROR($V6),"",OFFSET('Smelter Look-up'!$C$4,$V6-4,0)&amp;"")</f>
        <v>PT Timah Tbk Kundur</v>
      </c>
      <c r="S6" s="181" t="str">
        <f t="shared" ref="S6:S37" ca="1" si="2">IF(B6="","",IF(ISERROR(MATCH($E6,CL,0)),"Unknown",INDIRECT("'C'!$A$"&amp;MATCH($E6,CL,0)+1)))</f>
        <v>ID</v>
      </c>
      <c r="T6" s="181" t="str">
        <f ca="1">IF(B6="","",IF(ISERROR(MATCH($J6,SorP!$B$1:$B$6226,0)),"",INDIRECT("'SorP'!$A$"&amp;MATCH($S6&amp;$J6,SorP!C:C,0))))</f>
        <v>ID-RI</v>
      </c>
      <c r="U6" s="201"/>
      <c r="V6" s="226">
        <f>IF(C6="",NA(),IF(OR(C6="Smelter not listed",C6="Smelter not yet identified"),MATCH($B6&amp;$D6,'Smelter Look-up'!$J:$J,0),MATCH($B6&amp;$C6,'Smelter Look-up'!$J:$J,0)))</f>
        <v>532</v>
      </c>
      <c r="X6" s="227">
        <f t="shared" ref="X6:X37" si="3">IF(AND(C6="Smelter not listed",OR(LEN(D6)=0,LEN(E6)=0)),1,0)</f>
        <v>0</v>
      </c>
      <c r="AB6" s="228" t="str">
        <f t="shared" ref="AB6:AB37" si="4">B6&amp;C6</f>
        <v>TinPT Timah Tbk Kundur</v>
      </c>
    </row>
    <row r="7" spans="1:34" s="227" customFormat="1" ht="27" customHeight="1">
      <c r="A7" s="262"/>
      <c r="B7" s="182" t="s">
        <v>1120</v>
      </c>
      <c r="C7" s="186" t="s">
        <v>2141</v>
      </c>
      <c r="D7" s="230"/>
      <c r="E7" s="182" t="s">
        <v>1095</v>
      </c>
      <c r="F7" s="182" t="s">
        <v>775</v>
      </c>
      <c r="G7" s="182" t="s">
        <v>13217</v>
      </c>
      <c r="H7" s="183">
        <v>0</v>
      </c>
      <c r="I7" s="184" t="s">
        <v>1753</v>
      </c>
      <c r="J7" s="184" t="s">
        <v>12830</v>
      </c>
      <c r="K7" s="224"/>
      <c r="L7" s="224"/>
      <c r="M7" s="224"/>
      <c r="N7" s="224"/>
      <c r="O7" s="224" t="s">
        <v>1095</v>
      </c>
      <c r="P7" s="185"/>
      <c r="Q7" s="225"/>
      <c r="R7" s="182" t="str">
        <f ca="1">IF(ISERROR($V7),"",OFFSET('Smelter Look-up'!$C$4,$V7-4,0)&amp;"")</f>
        <v>PT Refined Bangka Tin</v>
      </c>
      <c r="S7" s="181" t="str">
        <f t="shared" ca="1" si="2"/>
        <v>ID</v>
      </c>
      <c r="T7" s="181" t="str">
        <f ca="1">IF(B7="","",IF(ISERROR(MATCH($J7,SorP!$B$1:$B$6226,0)),"",INDIRECT("'SorP'!$A$"&amp;MATCH($S7&amp;$J7,SorP!C:C,0))))</f>
        <v>ID-BB</v>
      </c>
      <c r="U7" s="201"/>
      <c r="V7" s="226">
        <f>IF(C7="",NA(),IF(OR(C7="Smelter not listed",C7="Smelter not yet identified"),MATCH($B7&amp;$D7,'Smelter Look-up'!$J:$J,0),MATCH($B7&amp;$C7,'Smelter Look-up'!$J:$J,0)))</f>
        <v>526</v>
      </c>
      <c r="X7" s="227">
        <f t="shared" si="3"/>
        <v>0</v>
      </c>
      <c r="AB7" s="228" t="str">
        <f t="shared" si="4"/>
        <v>TinPT Refined Bangka Tin</v>
      </c>
    </row>
    <row r="8" spans="1:34" s="227" customFormat="1" ht="22.5" customHeight="1">
      <c r="A8" s="262"/>
      <c r="B8" s="182" t="s">
        <v>1120</v>
      </c>
      <c r="C8" s="186" t="s">
        <v>1021</v>
      </c>
      <c r="D8" s="230"/>
      <c r="E8" s="182" t="s">
        <v>878</v>
      </c>
      <c r="F8" s="182" t="s">
        <v>779</v>
      </c>
      <c r="G8" s="182" t="s">
        <v>13217</v>
      </c>
      <c r="H8" s="183">
        <v>0</v>
      </c>
      <c r="I8" s="184" t="s">
        <v>1781</v>
      </c>
      <c r="J8" s="184" t="s">
        <v>1782</v>
      </c>
      <c r="K8" s="224"/>
      <c r="L8" s="224"/>
      <c r="M8" s="224"/>
      <c r="N8" s="224"/>
      <c r="O8" s="224" t="s">
        <v>15869</v>
      </c>
      <c r="P8" s="185"/>
      <c r="Q8" s="225"/>
      <c r="R8" s="182" t="str">
        <f ca="1">IF(ISERROR($V8),"",OFFSET('Smelter Look-up'!$C$4,$V8-4,0)&amp;"")</f>
        <v>Thaisarco</v>
      </c>
      <c r="S8" s="181" t="str">
        <f t="shared" ca="1" si="2"/>
        <v>TH</v>
      </c>
      <c r="T8" s="181" t="str">
        <f ca="1">IF(B8="","",IF(ISERROR(MATCH($J8,SorP!$B$1:$B$6226,0)),"",INDIRECT("'SorP'!$A$"&amp;MATCH($S8&amp;$J8,SorP!C:C,0))))</f>
        <v>TH-83</v>
      </c>
      <c r="U8" s="201"/>
      <c r="V8" s="226">
        <f>IF(C8="",NA(),IF(OR(C8="Smelter not listed",C8="Smelter not yet identified"),MATCH($B8&amp;$D8,'Smelter Look-up'!$J:$J,0),MATCH($B8&amp;$C8,'Smelter Look-up'!$J:$J,0)))</f>
        <v>547</v>
      </c>
      <c r="X8" s="227">
        <f t="shared" si="3"/>
        <v>0</v>
      </c>
      <c r="AB8" s="228" t="str">
        <f t="shared" si="4"/>
        <v>TinThaisarco</v>
      </c>
    </row>
    <row r="9" spans="1:34" s="227" customFormat="1" ht="24" customHeight="1">
      <c r="A9" s="262"/>
      <c r="B9" s="182" t="s">
        <v>1120</v>
      </c>
      <c r="C9" s="186" t="s">
        <v>12910</v>
      </c>
      <c r="D9" s="230"/>
      <c r="E9" s="182" t="s">
        <v>1085</v>
      </c>
      <c r="F9" s="182" t="s">
        <v>1801</v>
      </c>
      <c r="G9" s="182" t="s">
        <v>13217</v>
      </c>
      <c r="H9" s="183">
        <v>0</v>
      </c>
      <c r="I9" s="184" t="s">
        <v>1802</v>
      </c>
      <c r="J9" s="184" t="s">
        <v>3135</v>
      </c>
      <c r="K9" s="224"/>
      <c r="L9" s="224"/>
      <c r="M9" s="224"/>
      <c r="N9" s="224"/>
      <c r="O9" s="224" t="s">
        <v>15870</v>
      </c>
      <c r="P9" s="185"/>
      <c r="Q9" s="225"/>
      <c r="R9" s="182" t="str">
        <f ca="1">IF(ISERROR($V9),"",OFFSET('Smelter Look-up'!$C$4,$V9-4,0)&amp;"")</f>
        <v>Aurubis Beerse</v>
      </c>
      <c r="S9" s="181" t="str">
        <f t="shared" ca="1" si="2"/>
        <v>BE</v>
      </c>
      <c r="T9" s="181" t="str">
        <f ca="1">IF(B9="","",IF(ISERROR(MATCH($J9,SorP!$B$1:$B$6226,0)),"",INDIRECT("'SorP'!$A$"&amp;MATCH($S9&amp;$J9,SorP!C:C,0))))</f>
        <v>BE-VAN</v>
      </c>
      <c r="U9" s="201"/>
      <c r="V9" s="226">
        <f>IF(C9="",NA(),IF(OR(C9="Smelter not listed",C9="Smelter not yet identified"),MATCH($B9&amp;$D9,'Smelter Look-up'!$J:$J,0),MATCH($B9&amp;$C9,'Smelter Look-up'!$J:$J,0)))</f>
        <v>480</v>
      </c>
      <c r="X9" s="227">
        <f t="shared" si="3"/>
        <v>0</v>
      </c>
      <c r="AB9" s="228" t="str">
        <f t="shared" si="4"/>
        <v>TinMetallo Belgium N.V.</v>
      </c>
    </row>
    <row r="10" spans="1:34" s="227" customFormat="1" ht="24" customHeight="1">
      <c r="A10" s="262"/>
      <c r="B10" s="182" t="s">
        <v>1120</v>
      </c>
      <c r="C10" s="186" t="s">
        <v>1024</v>
      </c>
      <c r="D10" s="230"/>
      <c r="E10" s="182" t="s">
        <v>870</v>
      </c>
      <c r="F10" s="182" t="s">
        <v>768</v>
      </c>
      <c r="G10" s="182" t="s">
        <v>13217</v>
      </c>
      <c r="H10" s="183">
        <v>0</v>
      </c>
      <c r="I10" s="184" t="s">
        <v>1771</v>
      </c>
      <c r="J10" s="184" t="s">
        <v>9093</v>
      </c>
      <c r="K10" s="224"/>
      <c r="L10" s="224"/>
      <c r="M10" s="224"/>
      <c r="N10" s="224"/>
      <c r="O10" s="224" t="s">
        <v>870</v>
      </c>
      <c r="P10" s="185"/>
      <c r="Q10" s="225"/>
      <c r="R10" s="182" t="str">
        <f ca="1">IF(ISERROR($V10),"",OFFSET('Smelter Look-up'!$C$4,$V10-4,0)&amp;"")</f>
        <v>Minsur</v>
      </c>
      <c r="S10" s="181" t="str">
        <f t="shared" ca="1" si="2"/>
        <v>PE</v>
      </c>
      <c r="T10" s="181" t="str">
        <f ca="1">IF(B10="","",IF(ISERROR(MATCH($J10,SorP!$B$1:$B$6226,0)),"",INDIRECT("'SorP'!$A$"&amp;MATCH($S10&amp;$J10,SorP!C:C,0))))</f>
        <v>PE-ICA</v>
      </c>
      <c r="U10" s="201"/>
      <c r="V10" s="226">
        <f>IF(C10="",NA(),IF(OR(C10="Smelter not listed",C10="Smelter not yet identified"),MATCH($B10&amp;$D10,'Smelter Look-up'!$J:$J,0),MATCH($B10&amp;$C10,'Smelter Look-up'!$J:$J,0)))</f>
        <v>487</v>
      </c>
      <c r="X10" s="227">
        <f t="shared" si="3"/>
        <v>0</v>
      </c>
      <c r="AB10" s="228" t="str">
        <f t="shared" si="4"/>
        <v>TinMinsur</v>
      </c>
    </row>
    <row r="11" spans="1:34" s="227" customFormat="1" ht="22.5" customHeight="1">
      <c r="A11" s="262"/>
      <c r="B11" s="182" t="s">
        <v>1120</v>
      </c>
      <c r="C11" s="186" t="s">
        <v>13780</v>
      </c>
      <c r="D11" s="230"/>
      <c r="E11" s="182" t="s">
        <v>2413</v>
      </c>
      <c r="F11" s="182" t="s">
        <v>772</v>
      </c>
      <c r="G11" s="182" t="s">
        <v>13217</v>
      </c>
      <c r="H11" s="183">
        <v>0</v>
      </c>
      <c r="I11" s="184" t="s">
        <v>1755</v>
      </c>
      <c r="J11" s="184" t="s">
        <v>1755</v>
      </c>
      <c r="K11" s="224"/>
      <c r="L11" s="224"/>
      <c r="M11" s="224"/>
      <c r="N11" s="224"/>
      <c r="O11" s="224" t="s">
        <v>2413</v>
      </c>
      <c r="P11" s="185"/>
      <c r="Q11" s="225"/>
      <c r="R11" s="182" t="str">
        <f ca="1">IF(ISERROR($V11),"",OFFSET('Smelter Look-up'!$C$4,$V11-4,0)&amp;"")</f>
        <v>Operaciones Metalurgicas S.A.</v>
      </c>
      <c r="S11" s="181" t="str">
        <f t="shared" ca="1" si="2"/>
        <v>BO</v>
      </c>
      <c r="T11" s="181" t="str">
        <f ca="1">IF(B11="","",IF(ISERROR(MATCH($J11,SorP!$B$1:$B$6226,0)),"",INDIRECT("'SorP'!$A$"&amp;MATCH($S11&amp;$J11,SorP!C:C,0))))</f>
        <v>BO-O</v>
      </c>
      <c r="U11" s="201"/>
      <c r="V11" s="226">
        <f>IF(C11="",NA(),IF(OR(C11="Smelter not listed",C11="Smelter not yet identified"),MATCH($B11&amp;$D11,'Smelter Look-up'!$J:$J,0),MATCH($B11&amp;$C11,'Smelter Look-up'!$J:$J,0)))</f>
        <v>499</v>
      </c>
      <c r="X11" s="227">
        <f t="shared" si="3"/>
        <v>0</v>
      </c>
      <c r="AB11" s="228" t="str">
        <f t="shared" si="4"/>
        <v>TinOperaciones Metalurgicas S.A.</v>
      </c>
    </row>
    <row r="12" spans="1:34" s="227" customFormat="1" ht="23.25" customHeight="1">
      <c r="A12" s="262"/>
      <c r="B12" s="182" t="s">
        <v>1120</v>
      </c>
      <c r="C12" s="186" t="s">
        <v>12408</v>
      </c>
      <c r="D12" s="230"/>
      <c r="E12" s="182" t="s">
        <v>1086</v>
      </c>
      <c r="F12" s="182" t="s">
        <v>767</v>
      </c>
      <c r="G12" s="182" t="s">
        <v>13217</v>
      </c>
      <c r="H12" s="183">
        <v>0</v>
      </c>
      <c r="I12" s="184" t="s">
        <v>1769</v>
      </c>
      <c r="J12" s="184" t="s">
        <v>1666</v>
      </c>
      <c r="K12" s="224"/>
      <c r="L12" s="224"/>
      <c r="M12" s="224"/>
      <c r="N12" s="224"/>
      <c r="O12" s="224" t="s">
        <v>1086</v>
      </c>
      <c r="P12" s="185"/>
      <c r="Q12" s="225"/>
      <c r="R12" s="182" t="str">
        <f ca="1">IF(ISERROR($V12),"",OFFSET('Smelter Look-up'!$C$4,$V12-4,0)&amp;"")</f>
        <v>Mineracao Taboca S.A.</v>
      </c>
      <c r="S12" s="181" t="str">
        <f t="shared" ca="1" si="2"/>
        <v>BR</v>
      </c>
      <c r="T12" s="181" t="str">
        <f ca="1">IF(B12="","",IF(ISERROR(MATCH($J12,SorP!$B$1:$B$6226,0)),"",INDIRECT("'SorP'!$A$"&amp;MATCH($S12&amp;$J12,SorP!C:C,0))))</f>
        <v>BR-SP</v>
      </c>
      <c r="U12" s="201"/>
      <c r="V12" s="226">
        <f>IF(C12="",NA(),IF(OR(C12="Smelter not listed",C12="Smelter not yet identified"),MATCH($B12&amp;$D12,'Smelter Look-up'!$J:$J,0),MATCH($B12&amp;$C12,'Smelter Look-up'!$J:$J,0)))</f>
        <v>482</v>
      </c>
      <c r="X12" s="227">
        <f t="shared" si="3"/>
        <v>0</v>
      </c>
      <c r="AB12" s="228" t="str">
        <f t="shared" si="4"/>
        <v>TinMineracao Taboca S.A.</v>
      </c>
    </row>
    <row r="13" spans="1:34" s="227" customFormat="1" ht="28.5" customHeight="1">
      <c r="A13" s="262"/>
      <c r="B13" s="182" t="s">
        <v>1120</v>
      </c>
      <c r="C13" s="186" t="s">
        <v>13827</v>
      </c>
      <c r="D13" s="230"/>
      <c r="E13" s="182" t="s">
        <v>1095</v>
      </c>
      <c r="F13" s="182" t="s">
        <v>13841</v>
      </c>
      <c r="G13" s="182" t="s">
        <v>13217</v>
      </c>
      <c r="H13" s="183">
        <v>0</v>
      </c>
      <c r="I13" s="184" t="s">
        <v>15113</v>
      </c>
      <c r="J13" s="184" t="s">
        <v>12830</v>
      </c>
      <c r="K13" s="224"/>
      <c r="L13" s="224"/>
      <c r="M13" s="224"/>
      <c r="N13" s="224"/>
      <c r="O13" s="224" t="s">
        <v>1095</v>
      </c>
      <c r="P13" s="185"/>
      <c r="Q13" s="225"/>
      <c r="R13" s="182" t="str">
        <f ca="1">IF(ISERROR($V13),"",OFFSET('Smelter Look-up'!$C$4,$V13-4,0)&amp;"")</f>
        <v>PT Mitra Sukses Globalindo</v>
      </c>
      <c r="S13" s="181" t="str">
        <f t="shared" ca="1" si="2"/>
        <v>ID</v>
      </c>
      <c r="T13" s="181" t="str">
        <f ca="1">IF(B13="","",IF(ISERROR(MATCH($J13,SorP!$B$1:$B$6226,0)),"",INDIRECT("'SorP'!$A$"&amp;MATCH($S13&amp;$J13,SorP!C:C,0))))</f>
        <v>ID-BB</v>
      </c>
      <c r="U13" s="201"/>
      <c r="V13" s="226">
        <f>IF(C13="",NA(),IF(OR(C13="Smelter not listed",C13="Smelter not yet identified"),MATCH($B13&amp;$D13,'Smelter Look-up'!$J:$J,0),MATCH($B13&amp;$C13,'Smelter Look-up'!$J:$J,0)))</f>
        <v>519</v>
      </c>
      <c r="X13" s="227">
        <f t="shared" si="3"/>
        <v>0</v>
      </c>
      <c r="AB13" s="228" t="str">
        <f t="shared" si="4"/>
        <v>TinPT Mitra Sukses Globalindo</v>
      </c>
    </row>
    <row r="14" spans="1:34" s="227" customFormat="1" ht="27" customHeight="1">
      <c r="A14" s="262"/>
      <c r="B14" s="182" t="s">
        <v>1120</v>
      </c>
      <c r="C14" s="186" t="s">
        <v>12914</v>
      </c>
      <c r="D14" s="230"/>
      <c r="E14" s="182" t="s">
        <v>1095</v>
      </c>
      <c r="F14" s="182" t="s">
        <v>14001</v>
      </c>
      <c r="G14" s="182" t="s">
        <v>13217</v>
      </c>
      <c r="H14" s="183">
        <v>0</v>
      </c>
      <c r="I14" s="184" t="s">
        <v>15113</v>
      </c>
      <c r="J14" s="184" t="s">
        <v>12830</v>
      </c>
      <c r="K14" s="224"/>
      <c r="L14" s="224"/>
      <c r="M14" s="224"/>
      <c r="N14" s="224"/>
      <c r="O14" s="224" t="s">
        <v>1095</v>
      </c>
      <c r="P14" s="185"/>
      <c r="Q14" s="225"/>
      <c r="R14" s="182" t="str">
        <f ca="1">IF(ISERROR($V14),"",OFFSET('Smelter Look-up'!$C$4,$V14-4,0)&amp;"")</f>
        <v>PT Bangka Serumpun</v>
      </c>
      <c r="S14" s="181" t="str">
        <f t="shared" ca="1" si="2"/>
        <v>ID</v>
      </c>
      <c r="T14" s="181" t="str">
        <f ca="1">IF(B14="","",IF(ISERROR(MATCH($J14,SorP!$B$1:$B$6226,0)),"",INDIRECT("'SorP'!$A$"&amp;MATCH($S14&amp;$J14,SorP!C:C,0))))</f>
        <v>ID-BB</v>
      </c>
      <c r="U14" s="201"/>
      <c r="V14" s="226">
        <f>IF(C14="",NA(),IF(OR(C14="Smelter not listed",C14="Smelter not yet identified"),MATCH($B14&amp;$D14,'Smelter Look-up'!$J:$J,0),MATCH($B14&amp;$C14,'Smelter Look-up'!$J:$J,0)))</f>
        <v>509</v>
      </c>
      <c r="X14" s="227">
        <f t="shared" si="3"/>
        <v>0</v>
      </c>
      <c r="AB14" s="228" t="str">
        <f t="shared" si="4"/>
        <v>TinPT Bangka Serumpun</v>
      </c>
    </row>
    <row r="15" spans="1:34" s="227" customFormat="1" ht="27" customHeight="1">
      <c r="A15" s="262"/>
      <c r="B15" s="182" t="s">
        <v>1120</v>
      </c>
      <c r="C15" s="186" t="s">
        <v>15075</v>
      </c>
      <c r="D15" s="230"/>
      <c r="E15" s="182" t="s">
        <v>1095</v>
      </c>
      <c r="F15" s="182" t="s">
        <v>15076</v>
      </c>
      <c r="G15" s="182" t="s">
        <v>13217</v>
      </c>
      <c r="H15" s="183">
        <v>0</v>
      </c>
      <c r="I15" s="184" t="s">
        <v>15112</v>
      </c>
      <c r="J15" s="184" t="s">
        <v>12830</v>
      </c>
      <c r="K15" s="224"/>
      <c r="L15" s="224"/>
      <c r="M15" s="224"/>
      <c r="N15" s="224"/>
      <c r="O15" s="224" t="s">
        <v>1095</v>
      </c>
      <c r="P15" s="185"/>
      <c r="Q15" s="225"/>
      <c r="R15" s="182" t="str">
        <f ca="1">IF(ISERROR($V15),"",OFFSET('Smelter Look-up'!$C$4,$V15-4,0)&amp;"")</f>
        <v>PT Babel Surya Alam Lestari</v>
      </c>
      <c r="S15" s="181" t="str">
        <f t="shared" ca="1" si="2"/>
        <v>ID</v>
      </c>
      <c r="T15" s="181" t="str">
        <f ca="1">IF(B15="","",IF(ISERROR(MATCH($J15,SorP!$B$1:$B$6226,0)),"",INDIRECT("'SorP'!$A$"&amp;MATCH($S15&amp;$J15,SorP!C:C,0))))</f>
        <v>ID-BB</v>
      </c>
      <c r="U15" s="201"/>
      <c r="V15" s="226">
        <f>IF(C15="",NA(),IF(OR(C15="Smelter not listed",C15="Smelter not yet identified"),MATCH($B15&amp;$D15,'Smelter Look-up'!$J:$J,0),MATCH($B15&amp;$C15,'Smelter Look-up'!$J:$J,0)))</f>
        <v>507</v>
      </c>
      <c r="X15" s="227">
        <f t="shared" si="3"/>
        <v>0</v>
      </c>
      <c r="AB15" s="228" t="str">
        <f t="shared" si="4"/>
        <v>TinPT Babel Surya Alam Lestari</v>
      </c>
    </row>
    <row r="16" spans="1:34" s="227" customFormat="1" ht="28.5" customHeight="1">
      <c r="A16" s="262"/>
      <c r="B16" s="182" t="s">
        <v>1120</v>
      </c>
      <c r="C16" s="186" t="s">
        <v>1391</v>
      </c>
      <c r="D16" s="230"/>
      <c r="E16" s="182" t="s">
        <v>1095</v>
      </c>
      <c r="F16" s="182" t="s">
        <v>1392</v>
      </c>
      <c r="G16" s="182" t="s">
        <v>13217</v>
      </c>
      <c r="H16" s="183">
        <v>0</v>
      </c>
      <c r="I16" s="184" t="s">
        <v>1753</v>
      </c>
      <c r="J16" s="184" t="s">
        <v>12830</v>
      </c>
      <c r="K16" s="224"/>
      <c r="L16" s="224"/>
      <c r="M16" s="224"/>
      <c r="N16" s="224"/>
      <c r="O16" s="224" t="s">
        <v>1095</v>
      </c>
      <c r="P16" s="185"/>
      <c r="Q16" s="225"/>
      <c r="R16" s="182" t="str">
        <f ca="1">IF(ISERROR($V16),"",OFFSET('Smelter Look-up'!$C$4,$V16-4,0)&amp;"")</f>
        <v>PT ATD Makmur Mandiri Jaya</v>
      </c>
      <c r="S16" s="181" t="str">
        <f t="shared" ca="1" si="2"/>
        <v>ID</v>
      </c>
      <c r="T16" s="181" t="str">
        <f ca="1">IF(B16="","",IF(ISERROR(MATCH($J16,SorP!$B$1:$B$6226,0)),"",INDIRECT("'SorP'!$A$"&amp;MATCH($S16&amp;$J16,SorP!C:C,0))))</f>
        <v>ID-BB</v>
      </c>
      <c r="U16" s="201"/>
      <c r="V16" s="226">
        <f>IF(C16="",NA(),IF(OR(C16="Smelter not listed",C16="Smelter not yet identified"),MATCH($B16&amp;$D16,'Smelter Look-up'!$J:$J,0),MATCH($B16&amp;$C16,'Smelter Look-up'!$J:$J,0)))</f>
        <v>505</v>
      </c>
      <c r="X16" s="227">
        <f t="shared" si="3"/>
        <v>0</v>
      </c>
      <c r="AB16" s="228" t="str">
        <f t="shared" si="4"/>
        <v>TinPT ATD Makmur Mandiri Jaya</v>
      </c>
    </row>
    <row r="17" spans="1:28" s="227" customFormat="1" ht="26.25" customHeight="1">
      <c r="A17" s="262"/>
      <c r="B17" s="182" t="s">
        <v>1120</v>
      </c>
      <c r="C17" s="186" t="s">
        <v>15081</v>
      </c>
      <c r="D17" s="230"/>
      <c r="E17" s="182" t="s">
        <v>1095</v>
      </c>
      <c r="F17" s="182" t="s">
        <v>15082</v>
      </c>
      <c r="G17" s="182" t="s">
        <v>13217</v>
      </c>
      <c r="H17" s="183">
        <v>0</v>
      </c>
      <c r="I17" s="184" t="s">
        <v>15115</v>
      </c>
      <c r="J17" s="184" t="s">
        <v>12830</v>
      </c>
      <c r="K17" s="224"/>
      <c r="L17" s="224"/>
      <c r="M17" s="224"/>
      <c r="N17" s="224"/>
      <c r="O17" s="224" t="s">
        <v>1095</v>
      </c>
      <c r="P17" s="185"/>
      <c r="Q17" s="225"/>
      <c r="R17" s="182" t="str">
        <f ca="1">IF(ISERROR($V17),"",OFFSET('Smelter Look-up'!$C$4,$V17-4,0)&amp;"")</f>
        <v>PT Rajawali Rimba Perkasa</v>
      </c>
      <c r="S17" s="181" t="str">
        <f t="shared" ca="1" si="2"/>
        <v>ID</v>
      </c>
      <c r="T17" s="181" t="str">
        <f ca="1">IF(B17="","",IF(ISERROR(MATCH($J17,SorP!$B$1:$B$6226,0)),"",INDIRECT("'SorP'!$A$"&amp;MATCH($S17&amp;$J17,SorP!C:C,0))))</f>
        <v>ID-BB</v>
      </c>
      <c r="U17" s="201"/>
      <c r="V17" s="226">
        <f>IF(C17="",NA(),IF(OR(C17="Smelter not listed",C17="Smelter not yet identified"),MATCH($B17&amp;$D17,'Smelter Look-up'!$J:$J,0),MATCH($B17&amp;$C17,'Smelter Look-up'!$J:$J,0)))</f>
        <v>524</v>
      </c>
      <c r="X17" s="227">
        <f t="shared" si="3"/>
        <v>0</v>
      </c>
      <c r="AB17" s="228" t="str">
        <f t="shared" si="4"/>
        <v>TinPT Rajawali Rimba Perkasa</v>
      </c>
    </row>
    <row r="18" spans="1:28" s="227" customFormat="1" ht="27" customHeight="1">
      <c r="A18" s="181"/>
      <c r="B18" s="182" t="s">
        <v>1120</v>
      </c>
      <c r="C18" s="186" t="s">
        <v>834</v>
      </c>
      <c r="D18" s="230"/>
      <c r="E18" s="182" t="s">
        <v>1095</v>
      </c>
      <c r="F18" s="182" t="s">
        <v>773</v>
      </c>
      <c r="G18" s="182" t="s">
        <v>13217</v>
      </c>
      <c r="H18" s="183">
        <v>0</v>
      </c>
      <c r="I18" s="184" t="s">
        <v>1753</v>
      </c>
      <c r="J18" s="184" t="s">
        <v>12830</v>
      </c>
      <c r="K18" s="224"/>
      <c r="L18" s="224"/>
      <c r="M18" s="224"/>
      <c r="N18" s="224"/>
      <c r="O18" s="224" t="s">
        <v>1095</v>
      </c>
      <c r="P18" s="185"/>
      <c r="Q18" s="225"/>
      <c r="R18" s="182" t="str">
        <f ca="1">IF(ISERROR($V18),"",OFFSET('Smelter Look-up'!$C$4,$V18-4,0)&amp;"")</f>
        <v>PT Artha Cipta Langgeng</v>
      </c>
      <c r="S18" s="181" t="str">
        <f t="shared" ca="1" si="2"/>
        <v>ID</v>
      </c>
      <c r="T18" s="181" t="str">
        <f ca="1">IF(B18="","",IF(ISERROR(MATCH($J18,SorP!$B$1:$B$6226,0)),"",INDIRECT("'SorP'!$A$"&amp;MATCH($S18&amp;$J18,SorP!C:C,0))))</f>
        <v>ID-BB</v>
      </c>
      <c r="U18" s="201"/>
      <c r="V18" s="226">
        <f>IF(C18="",NA(),IF(OR(C18="Smelter not listed",C18="Smelter not yet identified"),MATCH($B18&amp;$D18,'Smelter Look-up'!$J:$J,0),MATCH($B18&amp;$C18,'Smelter Look-up'!$J:$J,0)))</f>
        <v>504</v>
      </c>
      <c r="X18" s="227">
        <f t="shared" si="3"/>
        <v>0</v>
      </c>
      <c r="AB18" s="228" t="str">
        <f t="shared" si="4"/>
        <v>TinPT Artha Cipta Langgeng</v>
      </c>
    </row>
    <row r="19" spans="1:28" s="227" customFormat="1" ht="34.5" customHeight="1">
      <c r="A19" s="181"/>
      <c r="B19" s="182" t="s">
        <v>1120</v>
      </c>
      <c r="C19" s="186" t="s">
        <v>15083</v>
      </c>
      <c r="D19" s="230"/>
      <c r="E19" s="182" t="s">
        <v>1095</v>
      </c>
      <c r="F19" s="182" t="s">
        <v>15084</v>
      </c>
      <c r="G19" s="182" t="s">
        <v>13217</v>
      </c>
      <c r="H19" s="183">
        <v>0</v>
      </c>
      <c r="I19" s="184" t="s">
        <v>15109</v>
      </c>
      <c r="J19" s="184" t="s">
        <v>12830</v>
      </c>
      <c r="K19" s="224"/>
      <c r="L19" s="224"/>
      <c r="M19" s="224"/>
      <c r="N19" s="224"/>
      <c r="O19" s="224" t="s">
        <v>1095</v>
      </c>
      <c r="P19" s="185"/>
      <c r="Q19" s="225"/>
      <c r="R19" s="182" t="str">
        <f ca="1">IF(ISERROR($V19),"",OFFSET('Smelter Look-up'!$C$4,$V19-4,0)&amp;"")</f>
        <v>PT Stanindo Inti Perkasa</v>
      </c>
      <c r="S19" s="181" t="str">
        <f t="shared" ca="1" si="2"/>
        <v>ID</v>
      </c>
      <c r="T19" s="181" t="str">
        <f ca="1">IF(B19="","",IF(ISERROR(MATCH($J19,SorP!$B$1:$B$6226,0)),"",INDIRECT("'SorP'!$A$"&amp;MATCH($S19&amp;$J19,SorP!C:C,0))))</f>
        <v>ID-BB</v>
      </c>
      <c r="U19" s="201"/>
      <c r="V19" s="226">
        <f>IF(C19="",NA(),IF(OR(C19="Smelter not listed",C19="Smelter not yet identified"),MATCH($B19&amp;$D19,'Smelter Look-up'!$J:$J,0),MATCH($B19&amp;$C19,'Smelter Look-up'!$J:$J,0)))</f>
        <v>528</v>
      </c>
      <c r="X19" s="227">
        <f t="shared" si="3"/>
        <v>0</v>
      </c>
      <c r="AB19" s="228" t="str">
        <f t="shared" si="4"/>
        <v>TinPT Stanindo Inti Perkasa</v>
      </c>
    </row>
    <row r="20" spans="1:28" s="227" customFormat="1" ht="27.75" customHeight="1">
      <c r="A20" s="181"/>
      <c r="B20" s="182" t="s">
        <v>1120</v>
      </c>
      <c r="C20" s="186" t="s">
        <v>13826</v>
      </c>
      <c r="D20" s="230"/>
      <c r="E20" s="182" t="s">
        <v>13082</v>
      </c>
      <c r="F20" s="182" t="s">
        <v>13840</v>
      </c>
      <c r="G20" s="182" t="s">
        <v>13217</v>
      </c>
      <c r="H20" s="183">
        <v>0</v>
      </c>
      <c r="I20" s="184" t="s">
        <v>13851</v>
      </c>
      <c r="J20" s="184" t="s">
        <v>10043</v>
      </c>
      <c r="K20" s="224"/>
      <c r="L20" s="224"/>
      <c r="M20" s="224"/>
      <c r="N20" s="224"/>
      <c r="O20" s="224" t="s">
        <v>13082</v>
      </c>
      <c r="P20" s="185"/>
      <c r="Q20" s="225"/>
      <c r="R20" s="182" t="str">
        <f ca="1">IF(ISERROR($V20),"",OFFSET('Smelter Look-up'!$C$4,$V20-4,0)&amp;"")</f>
        <v>Luna Smelter, Ltd.</v>
      </c>
      <c r="S20" s="181" t="str">
        <f t="shared" ca="1" si="2"/>
        <v>RW</v>
      </c>
      <c r="T20" s="181" t="str">
        <f ca="1">IF(B20="","",IF(ISERROR(MATCH($J20,SorP!$B$1:$B$6226,0)),"",INDIRECT("'SorP'!$A$"&amp;MATCH($S20&amp;$J20,SorP!C:C,0))))</f>
        <v>RW-01</v>
      </c>
      <c r="U20" s="201"/>
      <c r="V20" s="226">
        <f>IF(C20="",NA(),IF(OR(C20="Smelter not listed",C20="Smelter not yet identified"),MATCH($B20&amp;$D20,'Smelter Look-up'!$J:$J,0),MATCH($B20&amp;$C20,'Smelter Look-up'!$J:$J,0)))</f>
        <v>471</v>
      </c>
      <c r="X20" s="227">
        <f t="shared" si="3"/>
        <v>0</v>
      </c>
      <c r="AB20" s="228" t="str">
        <f t="shared" si="4"/>
        <v>TinLuna Smelter, Ltd.</v>
      </c>
    </row>
    <row r="21" spans="1:28" s="227" customFormat="1" ht="33" customHeight="1">
      <c r="A21" s="181"/>
      <c r="B21" s="182" t="s">
        <v>1120</v>
      </c>
      <c r="C21" s="186" t="s">
        <v>623</v>
      </c>
      <c r="D21" s="230"/>
      <c r="E21" s="182" t="s">
        <v>1095</v>
      </c>
      <c r="F21" s="182" t="s">
        <v>774</v>
      </c>
      <c r="G21" s="182" t="s">
        <v>13217</v>
      </c>
      <c r="H21" s="183">
        <v>0</v>
      </c>
      <c r="I21" s="184" t="s">
        <v>1753</v>
      </c>
      <c r="J21" s="184" t="s">
        <v>12830</v>
      </c>
      <c r="K21" s="224"/>
      <c r="L21" s="224"/>
      <c r="M21" s="224"/>
      <c r="N21" s="224"/>
      <c r="O21" s="224" t="s">
        <v>1095</v>
      </c>
      <c r="P21" s="185"/>
      <c r="Q21" s="225"/>
      <c r="R21" s="182" t="str">
        <f ca="1">IF(ISERROR($V21),"",OFFSET('Smelter Look-up'!$C$4,$V21-4,0)&amp;"")</f>
        <v>PT Mitra Stania Prima</v>
      </c>
      <c r="S21" s="181" t="str">
        <f t="shared" ca="1" si="2"/>
        <v>ID</v>
      </c>
      <c r="T21" s="181" t="str">
        <f ca="1">IF(B21="","",IF(ISERROR(MATCH($J21,SorP!$B$1:$B$6226,0)),"",INDIRECT("'SorP'!$A$"&amp;MATCH($S21&amp;$J21,SorP!C:C,0))))</f>
        <v>ID-BB</v>
      </c>
      <c r="U21" s="201"/>
      <c r="V21" s="226">
        <f>IF(C21="",NA(),IF(OR(C21="Smelter not listed",C21="Smelter not yet identified"),MATCH($B21&amp;$D21,'Smelter Look-up'!$J:$J,0),MATCH($B21&amp;$C21,'Smelter Look-up'!$J:$J,0)))</f>
        <v>518</v>
      </c>
      <c r="X21" s="227">
        <f t="shared" si="3"/>
        <v>0</v>
      </c>
      <c r="AB21" s="228" t="str">
        <f t="shared" si="4"/>
        <v>TinPT Mitra Stania Prima</v>
      </c>
    </row>
    <row r="22" spans="1:28" s="227" customFormat="1" ht="34.5" customHeight="1">
      <c r="A22" s="181"/>
      <c r="B22" s="182" t="s">
        <v>1120</v>
      </c>
      <c r="C22" s="186" t="s">
        <v>15456</v>
      </c>
      <c r="D22" s="230"/>
      <c r="E22" s="182" t="s">
        <v>1095</v>
      </c>
      <c r="F22" s="182" t="s">
        <v>15457</v>
      </c>
      <c r="G22" s="182" t="s">
        <v>13217</v>
      </c>
      <c r="H22" s="183">
        <v>0</v>
      </c>
      <c r="I22" s="184" t="s">
        <v>15109</v>
      </c>
      <c r="J22" s="184" t="s">
        <v>12830</v>
      </c>
      <c r="K22" s="224"/>
      <c r="L22" s="224"/>
      <c r="M22" s="224"/>
      <c r="N22" s="224"/>
      <c r="O22" s="224" t="s">
        <v>1095</v>
      </c>
      <c r="P22" s="185"/>
      <c r="Q22" s="225"/>
      <c r="R22" s="182" t="str">
        <f ca="1">IF(ISERROR($V22),"",OFFSET('Smelter Look-up'!$C$4,$V22-4,0)&amp;"")</f>
        <v>PT Sariwiguna Binasentosa</v>
      </c>
      <c r="S22" s="181" t="str">
        <f t="shared" ca="1" si="2"/>
        <v>ID</v>
      </c>
      <c r="T22" s="181" t="str">
        <f ca="1">IF(B22="","",IF(ISERROR(MATCH($J22,SorP!$B$1:$B$6226,0)),"",INDIRECT("'SorP'!$A$"&amp;MATCH($S22&amp;$J22,SorP!C:C,0))))</f>
        <v>ID-BB</v>
      </c>
      <c r="U22" s="201"/>
      <c r="V22" s="226">
        <f>IF(C22="",NA(),IF(OR(C22="Smelter not listed",C22="Smelter not yet identified"),MATCH($B22&amp;$D22,'Smelter Look-up'!$J:$J,0),MATCH($B22&amp;$C22,'Smelter Look-up'!$J:$J,0)))</f>
        <v>527</v>
      </c>
      <c r="X22" s="227">
        <f t="shared" si="3"/>
        <v>0</v>
      </c>
      <c r="AB22" s="228" t="str">
        <f t="shared" si="4"/>
        <v>TinPT Sariwiguna Binasentosa</v>
      </c>
    </row>
    <row r="23" spans="1:28" s="227" customFormat="1" ht="35.25" customHeight="1">
      <c r="A23" s="181"/>
      <c r="B23" s="182" t="s">
        <v>1120</v>
      </c>
      <c r="C23" s="186" t="s">
        <v>15871</v>
      </c>
      <c r="D23" s="230"/>
      <c r="E23" s="182" t="s">
        <v>1095</v>
      </c>
      <c r="F23" s="182" t="s">
        <v>15458</v>
      </c>
      <c r="G23" s="182" t="s">
        <v>13217</v>
      </c>
      <c r="H23" s="183">
        <v>0</v>
      </c>
      <c r="I23" s="184" t="s">
        <v>15872</v>
      </c>
      <c r="J23" s="184" t="s">
        <v>12830</v>
      </c>
      <c r="K23" s="224"/>
      <c r="L23" s="224"/>
      <c r="M23" s="224"/>
      <c r="N23" s="224"/>
      <c r="O23" s="224" t="s">
        <v>1095</v>
      </c>
      <c r="P23" s="185"/>
      <c r="Q23" s="225"/>
      <c r="R23" s="182" t="str">
        <f ca="1">IF(ISERROR($V23),"",OFFSET('Smelter Look-up'!$C$4,$V23-4,0)&amp;"")</f>
        <v/>
      </c>
      <c r="S23" s="181" t="str">
        <f t="shared" ca="1" si="2"/>
        <v>ID</v>
      </c>
      <c r="T23" s="181" t="str">
        <f ca="1">IF(B23="","",IF(ISERROR(MATCH($J23,SorP!$B$1:$B$6226,0)),"",INDIRECT("'SorP'!$A$"&amp;MATCH($S23&amp;$J23,SorP!C:C,0))))</f>
        <v>ID-BB</v>
      </c>
      <c r="U23" s="201"/>
      <c r="V23" s="226" t="e">
        <f>IF(C23="",NA(),IF(OR(C23="Smelter not listed",C23="Smelter not yet identified"),MATCH($B23&amp;$D23,'Smelter Look-up'!$J:$J,0),MATCH($B23&amp;$C23,'Smelter Look-up'!$J:$J,0)))</f>
        <v>#N/A</v>
      </c>
      <c r="X23" s="227">
        <f t="shared" si="3"/>
        <v>0</v>
      </c>
      <c r="AB23" s="228" t="str">
        <f t="shared" si="4"/>
        <v>TinPT Sukses Inti Makmur</v>
      </c>
    </row>
    <row r="24" spans="1:28" s="227" customFormat="1" ht="28.5" customHeight="1">
      <c r="A24" s="181"/>
      <c r="B24" s="182" t="s">
        <v>1120</v>
      </c>
      <c r="C24" s="186" t="s">
        <v>2515</v>
      </c>
      <c r="D24" s="230"/>
      <c r="E24" s="182" t="s">
        <v>1086</v>
      </c>
      <c r="F24" s="182" t="s">
        <v>780</v>
      </c>
      <c r="G24" s="182" t="s">
        <v>13217</v>
      </c>
      <c r="H24" s="183">
        <v>0</v>
      </c>
      <c r="I24" s="184" t="s">
        <v>1752</v>
      </c>
      <c r="J24" s="184" t="s">
        <v>1756</v>
      </c>
      <c r="K24" s="224"/>
      <c r="L24" s="224"/>
      <c r="M24" s="224"/>
      <c r="N24" s="224"/>
      <c r="O24" s="224" t="s">
        <v>15874</v>
      </c>
      <c r="P24" s="185"/>
      <c r="Q24" s="225"/>
      <c r="R24" s="182" t="str">
        <f ca="1">IF(ISERROR($V24),"",OFFSET('Smelter Look-up'!$C$4,$V24-4,0)&amp;"")</f>
        <v>White Solder Metalurgia e Mineracao Ltda.</v>
      </c>
      <c r="S24" s="181" t="str">
        <f t="shared" ca="1" si="2"/>
        <v>BR</v>
      </c>
      <c r="T24" s="181" t="str">
        <f ca="1">IF(B24="","",IF(ISERROR(MATCH($J24,SorP!$B$1:$B$6226,0)),"",INDIRECT("'SorP'!$A$"&amp;MATCH($S24&amp;$J24,SorP!C:C,0))))</f>
        <v>BR-RO</v>
      </c>
      <c r="U24" s="201"/>
      <c r="V24" s="226">
        <f>IF(C24="",NA(),IF(OR(C24="Smelter not listed",C24="Smelter not yet identified"),MATCH($B24&amp;$D24,'Smelter Look-up'!$J:$J,0),MATCH($B24&amp;$C24,'Smelter Look-up'!$J:$J,0)))</f>
        <v>556</v>
      </c>
      <c r="X24" s="227">
        <f t="shared" si="3"/>
        <v>0</v>
      </c>
      <c r="AB24" s="228" t="str">
        <f t="shared" si="4"/>
        <v>TinWhite Solder Metalurgia e Mineracao Ltda.</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88DE54C-2A83-46F9-9982-505419150D9B}"/>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Süddeutsche Metallhandelsges. mbH (SMH) / Diehl Brass Solutions Stiftung &amp; Co. KG / Franconia Industries,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Manufacturing of semi-fabricated products (strips, rods, tubes) by melting and extruding or rolling of copper alloys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Günther Ernst</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guenther.ernst@diehl.com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+49 911 5704161</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Günther Ernst</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guenther.ernst@diehl.com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45476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https://www.diehl.com/cms/files/Diehl_Brass_Solutions_GPC_production-material_06.2021.pdf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56.2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Petra MERGENTHALER</cp:lastModifiedBy>
  <cp:lastPrinted>2015-04-21T20:47:43Z</cp:lastPrinted>
  <dcterms:created xsi:type="dcterms:W3CDTF">2010-06-21T21:00:23Z</dcterms:created>
  <dcterms:modified xsi:type="dcterms:W3CDTF">2024-07-03T12:51:00Z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